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536" activeTab="0"/>
  </bookViews>
  <sheets>
    <sheet name="Inputs &amp; Outputs" sheetId="1" r:id="rId1"/>
    <sheet name="Amortize" sheetId="2" r:id="rId2"/>
    <sheet name="Crash History" sheetId="3" r:id="rId3"/>
    <sheet name="Crash History (2)" sheetId="4" r:id="rId4"/>
    <sheet name="GVT bid breakdown" sheetId="5" r:id="rId5"/>
    <sheet name="Rbt matrix" sheetId="6" r:id="rId6"/>
    <sheet name="Pollutants" sheetId="7" r:id="rId7"/>
  </sheets>
  <definedNames>
    <definedName name="_Ref72938093" localSheetId="6">'Pollutants'!$E$11</definedName>
    <definedName name="_Toc76534454" localSheetId="6">'Pollutants'!$D$9</definedName>
    <definedName name="_xlnm.Print_Area" localSheetId="1">'Amortize'!$A$1:$F$44</definedName>
  </definedNames>
  <calcPr fullCalcOnLoad="1"/>
</workbook>
</file>

<file path=xl/sharedStrings.xml><?xml version="1.0" encoding="utf-8"?>
<sst xmlns="http://schemas.openxmlformats.org/spreadsheetml/2006/main" count="388" uniqueCount="177">
  <si>
    <t>Meteor Av</t>
  </si>
  <si>
    <t>Total</t>
  </si>
  <si>
    <t>Sub-total</t>
  </si>
  <si>
    <t>Backing Vehicle</t>
  </si>
  <si>
    <t>Rear End</t>
  </si>
  <si>
    <t>Sideswipe</t>
  </si>
  <si>
    <t>Out of Control</t>
  </si>
  <si>
    <t>Benefits                             (@ year n)</t>
  </si>
  <si>
    <t>X   (1 + Inflation Factor)</t>
  </si>
  <si>
    <t>Present Worth Benefits (@ year n)</t>
  </si>
  <si>
    <t>Current Year</t>
  </si>
  <si>
    <t>Classification of Crashes at Six Intersections in the Cleveland Street Corridor for 36 Month Period</t>
  </si>
  <si>
    <r>
      <t>=  (Benefits)</t>
    </r>
    <r>
      <rPr>
        <vertAlign val="subscript"/>
        <sz val="10"/>
        <rFont val="Arial"/>
        <family val="2"/>
      </rPr>
      <t>n-1</t>
    </r>
  </si>
  <si>
    <r>
      <t>=  (Crash Benefits)</t>
    </r>
    <r>
      <rPr>
        <vertAlign val="subscript"/>
        <sz val="10"/>
        <rFont val="Arial"/>
        <family val="2"/>
      </rPr>
      <t>n</t>
    </r>
  </si>
  <si>
    <t>Lake</t>
  </si>
  <si>
    <t>Duncan</t>
  </si>
  <si>
    <t>Saturn</t>
  </si>
  <si>
    <t>Corona</t>
  </si>
  <si>
    <t>Meteor</t>
  </si>
  <si>
    <t>Aurora</t>
  </si>
  <si>
    <t>Intersection with Cleveland Street</t>
  </si>
  <si>
    <t>Access to Park</t>
  </si>
  <si>
    <t>LOS Impact</t>
  </si>
  <si>
    <t>+</t>
  </si>
  <si>
    <t>Emissions Impact</t>
  </si>
  <si>
    <t>Fuel Consumption Impact</t>
  </si>
  <si>
    <t>Proximity to School</t>
  </si>
  <si>
    <t>Trees Impacted</t>
  </si>
  <si>
    <t>Queue Length Impact</t>
  </si>
  <si>
    <t>Signal- ized</t>
  </si>
  <si>
    <t>Sig</t>
  </si>
  <si>
    <t>Skycrest Roundabout Matrix</t>
  </si>
  <si>
    <t>Safety Impact</t>
  </si>
  <si>
    <t>Number of roundabouts</t>
  </si>
  <si>
    <t>A. COSTS TO THE CITY</t>
  </si>
  <si>
    <t>B. COSTS TO SOCIETY</t>
  </si>
  <si>
    <t>(3) Fuel</t>
  </si>
  <si>
    <t>(4) Delay</t>
  </si>
  <si>
    <t>(5) Crashes</t>
  </si>
  <si>
    <t>BCA Calculations</t>
  </si>
  <si>
    <r>
      <t>Crash History</t>
    </r>
    <r>
      <rPr>
        <sz val="10"/>
        <rFont val="Arial"/>
        <family val="2"/>
      </rPr>
      <t xml:space="preserve"> worksheet</t>
    </r>
  </si>
  <si>
    <t>Annual Travel Delay savings</t>
  </si>
  <si>
    <t>Annual Fuel Cost savings</t>
  </si>
  <si>
    <t>Fuel cost (per gallon)</t>
  </si>
  <si>
    <t>Hourly cost of travel delay</t>
  </si>
  <si>
    <t>Year of Construction</t>
  </si>
  <si>
    <t>BCA Inputs</t>
  </si>
  <si>
    <t>Annual fuel savings (gallons)</t>
  </si>
  <si>
    <t>Type of Collision</t>
  </si>
  <si>
    <t>Right Angle</t>
  </si>
  <si>
    <t>Left Turn</t>
  </si>
  <si>
    <t>K</t>
  </si>
  <si>
    <t>A</t>
  </si>
  <si>
    <t>B</t>
  </si>
  <si>
    <t>C</t>
  </si>
  <si>
    <t>O</t>
  </si>
  <si>
    <t>Benefit</t>
  </si>
  <si>
    <t>Crash?</t>
  </si>
  <si>
    <t>Crash</t>
  </si>
  <si>
    <t>Date of</t>
  </si>
  <si>
    <t>Prevention</t>
  </si>
  <si>
    <t>Pre-</t>
  </si>
  <si>
    <t>ventable</t>
  </si>
  <si>
    <t>Cleveland</t>
  </si>
  <si>
    <t>&amp;</t>
  </si>
  <si>
    <t>Annual benefit</t>
  </si>
  <si>
    <t>Total for 36 months</t>
  </si>
  <si>
    <t>A  Incapacitating Injury</t>
  </si>
  <si>
    <t>K  Death</t>
  </si>
  <si>
    <t>C  Possible Injury</t>
  </si>
  <si>
    <t>O  No Injury</t>
  </si>
  <si>
    <t>Benefit/Cost Ratio</t>
  </si>
  <si>
    <t>Ann. cost to maint. 3 signals</t>
  </si>
  <si>
    <t>B  Non-incap. Injury</t>
  </si>
  <si>
    <t>Travel delay reductn. (hrs/yr)</t>
  </si>
  <si>
    <t>Annual cost to maint. 6 rbts.</t>
  </si>
  <si>
    <t>Where</t>
  </si>
  <si>
    <t>1,2,3, …</t>
  </si>
  <si>
    <t>NSC Comprehensive Cost ($)</t>
  </si>
  <si>
    <t>Present Value</t>
  </si>
  <si>
    <t>Construction cost per rbt.</t>
  </si>
  <si>
    <t>Factors to calculate PV of Total Ann. Benefits</t>
  </si>
  <si>
    <t>Year of Life-Cycle</t>
  </si>
  <si>
    <t>Skycrest</t>
  </si>
  <si>
    <t>Net Present Value (NPV)</t>
  </si>
  <si>
    <t>Future Benefits Adjusted for Inflation</t>
  </si>
  <si>
    <t>Discounted Future Worth</t>
  </si>
  <si>
    <t>Calendar Year</t>
  </si>
  <si>
    <t>Present Value of Life-Cycle Amortization</t>
  </si>
  <si>
    <t>NSC data for year</t>
  </si>
  <si>
    <t>Benefit Cost Analysis Outputs</t>
  </si>
  <si>
    <t>Project service life (N) (yrs.)</t>
  </si>
  <si>
    <t>Gas Savings (gals.)</t>
  </si>
  <si>
    <t>Pollutant reduction (Kg.)</t>
  </si>
  <si>
    <t>Construction cost of 6 rbts.</t>
  </si>
  <si>
    <t>ROW acquisition (2004)</t>
  </si>
  <si>
    <t>Right-of-Way acquisition</t>
  </si>
  <si>
    <t>PV cost of 6 roundabouts</t>
  </si>
  <si>
    <t>Comprehensive costs of crashes,</t>
  </si>
  <si>
    <t>B  Non-incapicitating Injury</t>
  </si>
  <si>
    <t>Grandview Terrace Traffic Calming</t>
  </si>
  <si>
    <t>Bid Breakdown for Roundabouts</t>
  </si>
  <si>
    <t>Engineer's Estimate of total cost</t>
  </si>
  <si>
    <t>Engineers Estimate of Contingency</t>
  </si>
  <si>
    <t>Engineer's Estimate less Contingency</t>
  </si>
  <si>
    <t>Actual Bid amount (with zero Contingency)</t>
  </si>
  <si>
    <t>Bid Adjustment Factor</t>
  </si>
  <si>
    <t>Intersection</t>
  </si>
  <si>
    <t>Baker, Richards &amp; Casler</t>
  </si>
  <si>
    <t>Palmetto &amp; Casler</t>
  </si>
  <si>
    <t>Ridgewood &amp; Richards</t>
  </si>
  <si>
    <t>Ridgewood &amp; Baker</t>
  </si>
  <si>
    <t>Ridgewood &amp; Casler</t>
  </si>
  <si>
    <t>Contractors Bid</t>
  </si>
  <si>
    <t>Bid Amounts</t>
  </si>
  <si>
    <t>MOBILIZATION/DEMOBILIZATION</t>
  </si>
  <si>
    <t>TRAFFIC CONTROL</t>
  </si>
  <si>
    <t>CLEARING &amp; GRUBBING, EROSION CONTROL, AND CONTRATOR STAKING</t>
  </si>
  <si>
    <t>Subtotal for M, TC &amp; C</t>
  </si>
  <si>
    <t>Bid total</t>
  </si>
  <si>
    <t>Bid total less M, TC &amp; C</t>
  </si>
  <si>
    <t>Factor for M, TC &amp; C</t>
  </si>
  <si>
    <t>Note:  Figures in green cells are taken from</t>
  </si>
  <si>
    <t>Grandviewcostestimate - KjS Rev3.xls</t>
  </si>
  <si>
    <t>Figures in peach cells are taken from the bid by MTM Contractors.  Construction contract executed 8/22/02.</t>
  </si>
  <si>
    <t>Bookend</t>
  </si>
  <si>
    <t>Bookend for Corridor</t>
  </si>
  <si>
    <t>CL Park</t>
  </si>
  <si>
    <t>Engineer's Estimate Adjusted by Bid Adjustment Factor</t>
  </si>
  <si>
    <t>Cost for Mobilization, Traffic Control &amp; Clearing</t>
  </si>
  <si>
    <t>Cost</t>
  </si>
  <si>
    <t>Aproximate Bid</t>
  </si>
  <si>
    <t>Estimate</t>
  </si>
  <si>
    <t>Engineer's</t>
  </si>
  <si>
    <t xml:space="preserve">Year (n) = </t>
  </si>
  <si>
    <t>Comprehensive Costs of Crashes</t>
  </si>
  <si>
    <t>Year of costruction cost data</t>
  </si>
  <si>
    <t>Cost data for year</t>
  </si>
  <si>
    <t>Design cost (2003)</t>
  </si>
  <si>
    <t>Annual Factors for Adjusting Historic Costs to</t>
  </si>
  <si>
    <t>Total annual benefits</t>
  </si>
  <si>
    <t>Total crash prevention</t>
  </si>
  <si>
    <t>benefit (current year)</t>
  </si>
  <si>
    <t>Total annual</t>
  </si>
  <si>
    <t>preventable delay benefit</t>
  </si>
  <si>
    <t>Annual O&amp;M benefit</t>
  </si>
  <si>
    <t>PV benefit of 6 rbts.</t>
  </si>
  <si>
    <r>
      <t xml:space="preserve">Adjusted to </t>
    </r>
    <r>
      <rPr>
        <i/>
        <sz val="10"/>
        <rFont val="Arial"/>
        <family val="2"/>
      </rPr>
      <t>current year</t>
    </r>
    <r>
      <rPr>
        <sz val="10"/>
        <rFont val="Arial"/>
        <family val="0"/>
      </rPr>
      <t xml:space="preserve"> by 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</si>
  <si>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 xml:space="preserve">adjusted to </t>
    </r>
    <r>
      <rPr>
        <i/>
        <sz val="10"/>
        <rFont val="Arial"/>
        <family val="2"/>
      </rPr>
      <t>current year</t>
    </r>
    <r>
      <rPr>
        <sz val="10"/>
        <rFont val="Arial"/>
        <family val="0"/>
      </rPr>
      <t xml:space="preserve"> by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0"/>
      </rPr>
      <t>)</t>
    </r>
  </si>
  <si>
    <r>
      <t>Consumer Inflation Rate 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</si>
  <si>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t>Construction Inflation Rate 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</si>
  <si>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t>Annual Inflation Rate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</si>
  <si>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t>Annual Traffic Growth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TG</t>
    </r>
    <r>
      <rPr>
        <sz val="10"/>
        <rFont val="Arial"/>
        <family val="2"/>
      </rPr>
      <t>)</t>
    </r>
  </si>
  <si>
    <r>
      <t>Annual Inflation Factor 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</si>
  <si>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Annual Discount Rate (</t>
    </r>
    <r>
      <rPr>
        <i/>
        <sz val="10"/>
        <rFont val="Arial"/>
        <family val="2"/>
      </rPr>
      <t>j</t>
    </r>
    <r>
      <rPr>
        <sz val="10"/>
        <rFont val="Arial"/>
        <family val="2"/>
      </rPr>
      <t>)</t>
    </r>
  </si>
  <si>
    <r>
      <t>Design cost adjusted by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</si>
  <si>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 xml:space="preserve">adj. to </t>
    </r>
    <r>
      <rPr>
        <i/>
        <sz val="10"/>
        <rFont val="Arial"/>
        <family val="2"/>
      </rPr>
      <t>current yr.</t>
    </r>
    <r>
      <rPr>
        <sz val="10"/>
        <rFont val="Arial"/>
        <family val="0"/>
      </rPr>
      <t xml:space="preserve"> by (</t>
    </r>
    <r>
      <rPr>
        <i/>
        <sz val="10"/>
        <rFont val="Arial"/>
        <family val="2"/>
      </rPr>
      <t>k</t>
    </r>
    <r>
      <rPr>
        <sz val="10"/>
        <rFont val="Arial"/>
        <family val="0"/>
      </rPr>
      <t>)</t>
    </r>
  </si>
  <si>
    <t>(1) Capital Costs:  One-time Cost of Rbts.</t>
  </si>
  <si>
    <r>
      <t xml:space="preserve"> Inflation rate 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) = </t>
    </r>
  </si>
  <si>
    <r>
      <t>Discount rate (</t>
    </r>
    <r>
      <rPr>
        <i/>
        <sz val="10"/>
        <rFont val="Arial"/>
        <family val="2"/>
      </rPr>
      <t>j</t>
    </r>
    <r>
      <rPr>
        <sz val="10"/>
        <rFont val="Arial"/>
        <family val="2"/>
      </rPr>
      <t xml:space="preserve">) = </t>
    </r>
  </si>
  <si>
    <r>
      <t xml:space="preserve">X   1/(1 + </t>
    </r>
    <r>
      <rPr>
        <i/>
        <sz val="10"/>
        <rFont val="Arial"/>
        <family val="2"/>
      </rPr>
      <t>j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n</t>
    </r>
  </si>
  <si>
    <r>
      <t>Amortize</t>
    </r>
    <r>
      <rPr>
        <sz val="10"/>
        <rFont val="Arial"/>
        <family val="0"/>
      </rPr>
      <t xml:space="preserve"> Over Life Cycle worksheet</t>
    </r>
  </si>
  <si>
    <r>
      <t>(2) O&amp;M Costs.</t>
    </r>
    <r>
      <rPr>
        <sz val="10"/>
        <rFont val="Arial"/>
        <family val="2"/>
      </rPr>
      <t xml:space="preserve">     Yr. of data</t>
    </r>
  </si>
  <si>
    <t>Table 18.  Emissions Impact (Kg/yr)</t>
  </si>
  <si>
    <t>Pollutant</t>
  </si>
  <si>
    <t>HC</t>
  </si>
  <si>
    <t>CO</t>
  </si>
  <si>
    <r>
      <t>NO</t>
    </r>
    <r>
      <rPr>
        <vertAlign val="subscript"/>
        <sz val="10"/>
        <rFont val="Arial"/>
        <family val="2"/>
      </rPr>
      <t>x</t>
    </r>
  </si>
  <si>
    <r>
      <t>CO</t>
    </r>
    <r>
      <rPr>
        <vertAlign val="subscript"/>
        <sz val="10"/>
        <rFont val="Arial"/>
        <family val="2"/>
      </rPr>
      <t>2</t>
    </r>
  </si>
  <si>
    <t>Lake Av</t>
  </si>
  <si>
    <t>Duncan Av</t>
  </si>
  <si>
    <t>Saturn Av</t>
  </si>
  <si>
    <t>Totals</t>
  </si>
  <si>
    <t>Low</t>
  </si>
  <si>
    <t>High</t>
  </si>
  <si>
    <t>Pollutant cost $/Kg.</t>
  </si>
  <si>
    <t>Annual cost/Kg.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</si>
</sst>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* #,##0.00000_);_(* \(#,##0.00000\);_(* &quot;-&quot;??_);_(@_)"/>
    <numFmt numFmtId="185" formatCode="####"/>
    <numFmt numFmtId="186" formatCode="00000"/>
    <numFmt numFmtId="187" formatCode="m/d"/>
    <numFmt numFmtId="188" formatCode="0.00000000000000"/>
    <numFmt numFmtId="189" formatCode="0.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  <numFmt numFmtId="195" formatCode="0.0%"/>
    <numFmt numFmtId="196" formatCode="mmmm\ d\,\ yyyy"/>
    <numFmt numFmtId="197" formatCode="0.000%"/>
    <numFmt numFmtId="198" formatCode="0.0000%"/>
    <numFmt numFmtId="199" formatCode="_(&quot;$&quot;* #,##0.000_);_(&quot;$&quot;* \(#,##0.000\);_(&quot;$&quot;* &quot;-&quot;??_);_(@_)"/>
    <numFmt numFmtId="200" formatCode="mmmm\-yy"/>
    <numFmt numFmtId="201" formatCode="&quot;$&quot;#,##0"/>
    <numFmt numFmtId="202" formatCode="#,##0.0000"/>
    <numFmt numFmtId="203" formatCode="&quot;$&quot;#,##0.00"/>
    <numFmt numFmtId="204" formatCode="#,##0.0_);\(#,##0.0\)"/>
    <numFmt numFmtId="205" formatCode="0_)"/>
    <numFmt numFmtId="206" formatCode="&quot;$&quot;#,##0.0_);\(&quot;$&quot;#,##0.0\)"/>
    <numFmt numFmtId="207" formatCode="&quot;$&quot;#,##0.000_);\(&quot;$&quot;#,##0.000\)"/>
    <numFmt numFmtId="208" formatCode="#,##0.0"/>
    <numFmt numFmtId="209" formatCode="0_);\(0\)"/>
    <numFmt numFmtId="210" formatCode="0.0_);\(0.0\)"/>
    <numFmt numFmtId="211" formatCode="#,##0.000_);\(#,##0.000\)"/>
    <numFmt numFmtId="212" formatCode="0.00_);\(0.00\)"/>
    <numFmt numFmtId="213" formatCode="General_)"/>
    <numFmt numFmtId="214" formatCode="0.000_);\(0.000\)"/>
    <numFmt numFmtId="215" formatCode="&quot;$&quot;#,##0.0"/>
    <numFmt numFmtId="216" formatCode="&quot;$&quot;#,##0.0_);[Red]\(&quot;$&quot;#,##0.0\)"/>
    <numFmt numFmtId="217" formatCode="m/d/yy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0_);[Red]\(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48"/>
      <name val="Arial"/>
      <family val="2"/>
    </font>
    <font>
      <i/>
      <vertAlign val="subscript"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ck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ck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hair"/>
      <right style="double"/>
      <top style="thin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8" fillId="0" borderId="7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170" fontId="0" fillId="0" borderId="0" xfId="17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9" fillId="0" borderId="0" xfId="0" applyFont="1" applyBorder="1" applyAlignment="1">
      <alignment/>
    </xf>
    <xf numFmtId="7" fontId="1" fillId="0" borderId="0" xfId="0" applyNumberFormat="1" applyFont="1" applyFill="1" applyBorder="1" applyAlignment="1">
      <alignment/>
    </xf>
    <xf numFmtId="0" fontId="0" fillId="0" borderId="8" xfId="0" applyBorder="1" applyAlignment="1">
      <alignment horizontal="centerContinuous"/>
    </xf>
    <xf numFmtId="173" fontId="0" fillId="0" borderId="0" xfId="15" applyNumberFormat="1" applyFill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0" fontId="0" fillId="0" borderId="0" xfId="17" applyNumberFormat="1" applyBorder="1" applyAlignment="1">
      <alignment/>
    </xf>
    <xf numFmtId="6" fontId="0" fillId="0" borderId="0" xfId="0" applyNumberFormat="1" applyBorder="1" applyAlignment="1">
      <alignment/>
    </xf>
    <xf numFmtId="20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8" fontId="0" fillId="0" borderId="0" xfId="0" applyNumberFormat="1" applyAlignment="1">
      <alignment/>
    </xf>
    <xf numFmtId="167" fontId="0" fillId="0" borderId="9" xfId="0" applyNumberFormat="1" applyFont="1" applyFill="1" applyBorder="1" applyAlignment="1">
      <alignment horizontal="center" vertical="top" wrapText="1"/>
    </xf>
    <xf numFmtId="167" fontId="0" fillId="0" borderId="1" xfId="0" applyNumberFormat="1" applyFont="1" applyFill="1" applyBorder="1" applyAlignment="1">
      <alignment horizontal="center" vertical="top" wrapText="1"/>
    </xf>
    <xf numFmtId="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42" fontId="0" fillId="0" borderId="1" xfId="0" applyNumberFormat="1" applyFill="1" applyBorder="1" applyAlignment="1">
      <alignment horizontal="right"/>
    </xf>
    <xf numFmtId="42" fontId="5" fillId="0" borderId="5" xfId="0" applyNumberFormat="1" applyFont="1" applyFill="1" applyBorder="1" applyAlignment="1">
      <alignment horizontal="right"/>
    </xf>
    <xf numFmtId="170" fontId="0" fillId="0" borderId="0" xfId="17" applyNumberFormat="1" applyAlignment="1">
      <alignment/>
    </xf>
    <xf numFmtId="0" fontId="0" fillId="0" borderId="0" xfId="0" applyFill="1" applyAlignment="1">
      <alignment horizontal="left"/>
    </xf>
    <xf numFmtId="15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right"/>
    </xf>
    <xf numFmtId="0" fontId="0" fillId="0" borderId="15" xfId="0" applyFill="1" applyBorder="1" applyAlignment="1">
      <alignment/>
    </xf>
    <xf numFmtId="9" fontId="0" fillId="0" borderId="16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9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/>
    </xf>
    <xf numFmtId="9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/>
    </xf>
    <xf numFmtId="42" fontId="5" fillId="0" borderId="26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/>
    </xf>
    <xf numFmtId="42" fontId="5" fillId="0" borderId="28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42" fontId="0" fillId="0" borderId="6" xfId="0" applyNumberFormat="1" applyFill="1" applyBorder="1" applyAlignment="1">
      <alignment/>
    </xf>
    <xf numFmtId="42" fontId="4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Continuous" vertical="center"/>
    </xf>
    <xf numFmtId="15" fontId="0" fillId="0" borderId="30" xfId="0" applyNumberFormat="1" applyFill="1" applyBorder="1" applyAlignment="1">
      <alignment horizontal="center" vertical="center"/>
    </xf>
    <xf numFmtId="15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5" fontId="0" fillId="0" borderId="32" xfId="0" applyNumberForma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/>
    </xf>
    <xf numFmtId="42" fontId="1" fillId="0" borderId="38" xfId="0" applyNumberFormat="1" applyFont="1" applyFill="1" applyBorder="1" applyAlignment="1">
      <alignment horizontal="right" vertical="center"/>
    </xf>
    <xf numFmtId="42" fontId="1" fillId="0" borderId="39" xfId="0" applyNumberFormat="1" applyFont="1" applyFill="1" applyBorder="1" applyAlignment="1">
      <alignment horizontal="center"/>
    </xf>
    <xf numFmtId="42" fontId="1" fillId="0" borderId="3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95" fontId="0" fillId="2" borderId="0" xfId="0" applyNumberFormat="1" applyFont="1" applyFill="1" applyBorder="1" applyAlignment="1">
      <alignment horizontal="left"/>
    </xf>
    <xf numFmtId="0" fontId="0" fillId="2" borderId="29" xfId="0" applyFont="1" applyFill="1" applyBorder="1" applyAlignment="1">
      <alignment horizontal="right" wrapText="1"/>
    </xf>
    <xf numFmtId="0" fontId="0" fillId="2" borderId="28" xfId="0" applyFont="1" applyFill="1" applyBorder="1" applyAlignment="1" quotePrefix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40" xfId="0" applyFont="1" applyFill="1" applyBorder="1" applyAlignment="1">
      <alignment/>
    </xf>
    <xf numFmtId="0" fontId="0" fillId="2" borderId="0" xfId="0" applyFont="1" applyFill="1" applyBorder="1" applyAlignment="1" quotePrefix="1">
      <alignment vertical="center"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170" fontId="0" fillId="2" borderId="14" xfId="0" applyNumberFormat="1" applyFont="1" applyFill="1" applyBorder="1" applyAlignment="1">
      <alignment/>
    </xf>
    <xf numFmtId="170" fontId="0" fillId="2" borderId="42" xfId="0" applyNumberFormat="1" applyFont="1" applyFill="1" applyBorder="1" applyAlignment="1">
      <alignment/>
    </xf>
    <xf numFmtId="170" fontId="0" fillId="2" borderId="40" xfId="17" applyNumberFormat="1" applyFont="1" applyFill="1" applyBorder="1" applyAlignment="1">
      <alignment/>
    </xf>
    <xf numFmtId="170" fontId="0" fillId="2" borderId="41" xfId="17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0" fontId="0" fillId="2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0" borderId="4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left" vertical="top" wrapText="1"/>
    </xf>
    <xf numFmtId="1" fontId="0" fillId="0" borderId="43" xfId="0" applyNumberFormat="1" applyFont="1" applyFill="1" applyBorder="1" applyAlignment="1">
      <alignment horizontal="center"/>
    </xf>
    <xf numFmtId="15" fontId="0" fillId="0" borderId="45" xfId="0" applyNumberForma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15" fontId="0" fillId="0" borderId="46" xfId="0" applyNumberFormat="1" applyFill="1" applyBorder="1" applyAlignment="1">
      <alignment horizontal="centerContinuous"/>
    </xf>
    <xf numFmtId="42" fontId="0" fillId="0" borderId="47" xfId="0" applyNumberForma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2" borderId="27" xfId="0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" borderId="40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170" fontId="1" fillId="2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9" fontId="0" fillId="0" borderId="51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2" fontId="0" fillId="0" borderId="38" xfId="0" applyNumberFormat="1" applyFont="1" applyFill="1" applyBorder="1" applyAlignment="1">
      <alignment horizontal="center" vertical="center"/>
    </xf>
    <xf numFmtId="42" fontId="0" fillId="0" borderId="38" xfId="0" applyNumberFormat="1" applyFont="1" applyFill="1" applyBorder="1" applyAlignment="1">
      <alignment horizontal="right" vertical="center"/>
    </xf>
    <xf numFmtId="42" fontId="0" fillId="0" borderId="39" xfId="0" applyNumberFormat="1" applyFont="1" applyFill="1" applyBorder="1" applyAlignment="1">
      <alignment horizontal="center"/>
    </xf>
    <xf numFmtId="42" fontId="0" fillId="0" borderId="13" xfId="0" applyNumberFormat="1" applyFill="1" applyBorder="1" applyAlignment="1">
      <alignment horizontal="right"/>
    </xf>
    <xf numFmtId="42" fontId="0" fillId="0" borderId="11" xfId="0" applyNumberFormat="1" applyFill="1" applyBorder="1" applyAlignment="1">
      <alignment horizontal="right"/>
    </xf>
    <xf numFmtId="42" fontId="0" fillId="0" borderId="20" xfId="0" applyNumberFormat="1" applyFill="1" applyBorder="1" applyAlignment="1">
      <alignment horizontal="right"/>
    </xf>
    <xf numFmtId="0" fontId="0" fillId="0" borderId="5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2" fontId="0" fillId="0" borderId="25" xfId="0" applyNumberFormat="1" applyFill="1" applyBorder="1" applyAlignment="1">
      <alignment horizontal="right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/>
    </xf>
    <xf numFmtId="173" fontId="0" fillId="2" borderId="14" xfId="15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vertical="center"/>
    </xf>
    <xf numFmtId="173" fontId="0" fillId="0" borderId="49" xfId="15" applyNumberFormat="1" applyFont="1" applyFill="1" applyBorder="1" applyAlignment="1">
      <alignment/>
    </xf>
    <xf numFmtId="173" fontId="0" fillId="0" borderId="49" xfId="15" applyNumberFormat="1" applyFont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58" xfId="0" applyFont="1" applyBorder="1" applyAlignment="1">
      <alignment horizontal="centerContinuous"/>
    </xf>
    <xf numFmtId="0" fontId="1" fillId="0" borderId="59" xfId="0" applyFont="1" applyBorder="1" applyAlignment="1">
      <alignment horizontal="centerContinuous"/>
    </xf>
    <xf numFmtId="0" fontId="1" fillId="0" borderId="6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61" xfId="0" applyFont="1" applyBorder="1" applyAlignment="1">
      <alignment horizontal="centerContinuous"/>
    </xf>
    <xf numFmtId="0" fontId="1" fillId="0" borderId="62" xfId="0" applyFont="1" applyBorder="1" applyAlignment="1">
      <alignment horizontal="centerContinuous"/>
    </xf>
    <xf numFmtId="0" fontId="1" fillId="0" borderId="6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6" xfId="0" applyNumberFormat="1" applyBorder="1" applyAlignment="1">
      <alignment horizontal="center" wrapText="1"/>
    </xf>
    <xf numFmtId="203" fontId="0" fillId="5" borderId="64" xfId="0" applyNumberFormat="1" applyFill="1" applyBorder="1" applyAlignment="1">
      <alignment/>
    </xf>
    <xf numFmtId="44" fontId="0" fillId="5" borderId="64" xfId="17" applyFill="1" applyBorder="1" applyAlignment="1">
      <alignment/>
    </xf>
    <xf numFmtId="203" fontId="0" fillId="0" borderId="64" xfId="0" applyNumberFormat="1" applyBorder="1" applyAlignment="1">
      <alignment/>
    </xf>
    <xf numFmtId="44" fontId="0" fillId="6" borderId="64" xfId="17" applyFill="1" applyBorder="1" applyAlignment="1">
      <alignment/>
    </xf>
    <xf numFmtId="203" fontId="0" fillId="0" borderId="0" xfId="0" applyNumberFormat="1" applyAlignment="1">
      <alignment/>
    </xf>
    <xf numFmtId="44" fontId="0" fillId="0" borderId="1" xfId="17" applyBorder="1" applyAlignment="1">
      <alignment/>
    </xf>
    <xf numFmtId="170" fontId="1" fillId="0" borderId="1" xfId="17" applyNumberFormat="1" applyFont="1" applyBorder="1" applyAlignment="1">
      <alignment/>
    </xf>
    <xf numFmtId="44" fontId="0" fillId="5" borderId="1" xfId="17" applyFill="1" applyBorder="1" applyAlignment="1">
      <alignment/>
    </xf>
    <xf numFmtId="195" fontId="0" fillId="0" borderId="0" xfId="21" applyNumberFormat="1" applyAlignment="1">
      <alignment/>
    </xf>
    <xf numFmtId="44" fontId="0" fillId="0" borderId="1" xfId="0" applyNumberFormat="1" applyBorder="1" applyAlignment="1">
      <alignment/>
    </xf>
    <xf numFmtId="44" fontId="0" fillId="6" borderId="1" xfId="0" applyNumberFormat="1" applyFill="1" applyBorder="1" applyAlignment="1">
      <alignment/>
    </xf>
    <xf numFmtId="195" fontId="0" fillId="0" borderId="1" xfId="21" applyNumberFormat="1" applyBorder="1" applyAlignment="1">
      <alignment/>
    </xf>
    <xf numFmtId="44" fontId="0" fillId="6" borderId="11" xfId="17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" xfId="0" applyBorder="1" applyAlignment="1">
      <alignment horizontal="centerContinuous"/>
    </xf>
    <xf numFmtId="170" fontId="0" fillId="0" borderId="1" xfId="17" applyNumberFormat="1" applyFont="1" applyBorder="1" applyAlignment="1">
      <alignment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2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2" fontId="1" fillId="0" borderId="1" xfId="0" applyNumberFormat="1" applyFont="1" applyBorder="1" applyAlignment="1">
      <alignment/>
    </xf>
    <xf numFmtId="170" fontId="0" fillId="0" borderId="1" xfId="17" applyNumberFormat="1" applyFill="1" applyBorder="1" applyAlignment="1">
      <alignment/>
    </xf>
    <xf numFmtId="0" fontId="0" fillId="0" borderId="70" xfId="0" applyFont="1" applyBorder="1" applyAlignment="1">
      <alignment horizontal="centerContinuous" wrapText="1"/>
    </xf>
    <xf numFmtId="0" fontId="0" fillId="0" borderId="71" xfId="0" applyBorder="1" applyAlignment="1">
      <alignment horizontal="centerContinuous"/>
    </xf>
    <xf numFmtId="0" fontId="0" fillId="0" borderId="67" xfId="0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5" fillId="0" borderId="65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" fillId="0" borderId="72" xfId="0" applyFont="1" applyBorder="1" applyAlignment="1">
      <alignment horizontal="left"/>
    </xf>
    <xf numFmtId="0" fontId="0" fillId="0" borderId="72" xfId="0" applyBorder="1" applyAlignment="1">
      <alignment/>
    </xf>
    <xf numFmtId="0" fontId="1" fillId="0" borderId="64" xfId="0" applyFont="1" applyFill="1" applyBorder="1" applyAlignment="1">
      <alignment/>
    </xf>
    <xf numFmtId="42" fontId="1" fillId="0" borderId="64" xfId="0" applyNumberFormat="1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vertical="center"/>
    </xf>
    <xf numFmtId="170" fontId="0" fillId="0" borderId="1" xfId="17" applyNumberFormat="1" applyBorder="1" applyAlignment="1">
      <alignment vertical="center"/>
    </xf>
    <xf numFmtId="42" fontId="0" fillId="0" borderId="1" xfId="0" applyNumberFormat="1" applyBorder="1" applyAlignment="1">
      <alignment vertical="center"/>
    </xf>
    <xf numFmtId="170" fontId="1" fillId="0" borderId="1" xfId="0" applyNumberFormat="1" applyFont="1" applyBorder="1" applyAlignment="1">
      <alignment/>
    </xf>
    <xf numFmtId="195" fontId="0" fillId="0" borderId="64" xfId="21" applyNumberFormat="1" applyBorder="1" applyAlignment="1">
      <alignment/>
    </xf>
    <xf numFmtId="0" fontId="0" fillId="0" borderId="42" xfId="0" applyFont="1" applyBorder="1" applyAlignment="1">
      <alignment horizontal="center"/>
    </xf>
    <xf numFmtId="49" fontId="0" fillId="0" borderId="49" xfId="0" applyNumberFormat="1" applyBorder="1" applyAlignment="1">
      <alignment horizontal="center" wrapText="1"/>
    </xf>
    <xf numFmtId="195" fontId="0" fillId="0" borderId="42" xfId="0" applyNumberFormat="1" applyBorder="1" applyAlignment="1">
      <alignment horizontal="center" wrapText="1"/>
    </xf>
    <xf numFmtId="49" fontId="0" fillId="0" borderId="49" xfId="0" applyNumberFormat="1" applyFont="1" applyBorder="1" applyAlignment="1">
      <alignment horizontal="center" wrapText="1"/>
    </xf>
    <xf numFmtId="49" fontId="0" fillId="0" borderId="42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95" fontId="0" fillId="0" borderId="26" xfId="0" applyNumberFormat="1" applyBorder="1" applyAlignment="1">
      <alignment horizontal="center" wrapText="1"/>
    </xf>
    <xf numFmtId="173" fontId="0" fillId="0" borderId="0" xfId="0" applyNumberFormat="1" applyAlignment="1">
      <alignment/>
    </xf>
    <xf numFmtId="42" fontId="1" fillId="7" borderId="1" xfId="17" applyNumberFormat="1" applyFont="1" applyFill="1" applyBorder="1" applyAlignment="1">
      <alignment vertical="center"/>
    </xf>
    <xf numFmtId="168" fontId="1" fillId="7" borderId="1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horizontal="right"/>
    </xf>
    <xf numFmtId="0" fontId="0" fillId="8" borderId="1" xfId="0" applyFill="1" applyBorder="1" applyAlignment="1">
      <alignment/>
    </xf>
    <xf numFmtId="10" fontId="0" fillId="8" borderId="1" xfId="0" applyNumberFormat="1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1" xfId="0" applyFill="1" applyBorder="1" applyAlignment="1">
      <alignment horizontal="right" vertical="center"/>
    </xf>
    <xf numFmtId="170" fontId="0" fillId="8" borderId="1" xfId="17" applyNumberFormat="1" applyFill="1" applyBorder="1" applyAlignment="1">
      <alignment/>
    </xf>
    <xf numFmtId="44" fontId="0" fillId="8" borderId="1" xfId="17" applyNumberFormat="1" applyFill="1" applyBorder="1" applyAlignment="1">
      <alignment/>
    </xf>
    <xf numFmtId="173" fontId="0" fillId="8" borderId="1" xfId="15" applyNumberFormat="1" applyFill="1" applyBorder="1" applyAlignment="1">
      <alignment/>
    </xf>
    <xf numFmtId="37" fontId="0" fillId="8" borderId="1" xfId="17" applyNumberFormat="1" applyFill="1" applyBorder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44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3" xfId="0" applyFont="1" applyBorder="1" applyAlignment="1">
      <alignment horizontal="centerContinuous" vertical="center"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42" fontId="0" fillId="0" borderId="64" xfId="0" applyNumberFormat="1" applyBorder="1" applyAlignment="1">
      <alignment/>
    </xf>
    <xf numFmtId="220" fontId="0" fillId="8" borderId="1" xfId="0" applyNumberFormat="1" applyFill="1" applyBorder="1" applyAlignment="1">
      <alignment/>
    </xf>
    <xf numFmtId="0" fontId="0" fillId="0" borderId="72" xfId="0" applyBorder="1" applyAlignment="1">
      <alignment horizontal="centerContinuous"/>
    </xf>
    <xf numFmtId="10" fontId="0" fillId="8" borderId="1" xfId="21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219" fontId="0" fillId="0" borderId="1" xfId="0" applyNumberFormat="1" applyFill="1" applyBorder="1" applyAlignment="1">
      <alignment/>
    </xf>
    <xf numFmtId="0" fontId="1" fillId="0" borderId="72" xfId="0" applyFont="1" applyBorder="1" applyAlignment="1">
      <alignment/>
    </xf>
    <xf numFmtId="0" fontId="1" fillId="0" borderId="64" xfId="0" applyFont="1" applyBorder="1" applyAlignment="1">
      <alignment/>
    </xf>
    <xf numFmtId="170" fontId="1" fillId="0" borderId="64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75" xfId="0" applyBorder="1" applyAlignment="1">
      <alignment/>
    </xf>
    <xf numFmtId="0" fontId="1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3" borderId="76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3" borderId="82" xfId="0" applyFill="1" applyBorder="1" applyAlignment="1">
      <alignment/>
    </xf>
    <xf numFmtId="0" fontId="0" fillId="0" borderId="82" xfId="0" applyFill="1" applyBorder="1" applyAlignment="1">
      <alignment/>
    </xf>
    <xf numFmtId="0" fontId="9" fillId="0" borderId="82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77" xfId="0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5" fillId="0" borderId="65" xfId="0" applyFont="1" applyBorder="1" applyAlignment="1">
      <alignment horizontal="centerContinuous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86" xfId="0" applyFont="1" applyBorder="1" applyAlignment="1">
      <alignment vertical="top" wrapText="1"/>
    </xf>
    <xf numFmtId="0" fontId="13" fillId="0" borderId="41" xfId="0" applyFont="1" applyBorder="1" applyAlignment="1">
      <alignment horizontal="right" wrapText="1"/>
    </xf>
    <xf numFmtId="3" fontId="13" fillId="0" borderId="41" xfId="0" applyNumberFormat="1" applyFont="1" applyBorder="1" applyAlignment="1">
      <alignment horizontal="right" wrapText="1"/>
    </xf>
    <xf numFmtId="3" fontId="13" fillId="0" borderId="85" xfId="0" applyNumberFormat="1" applyFont="1" applyBorder="1" applyAlignment="1">
      <alignment horizontal="right" wrapText="1"/>
    </xf>
    <xf numFmtId="0" fontId="0" fillId="0" borderId="86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right" wrapText="1"/>
    </xf>
    <xf numFmtId="3" fontId="0" fillId="0" borderId="41" xfId="0" applyNumberFormat="1" applyFont="1" applyBorder="1" applyAlignment="1">
      <alignment horizontal="right" wrapText="1"/>
    </xf>
    <xf numFmtId="3" fontId="0" fillId="0" borderId="85" xfId="0" applyNumberFormat="1" applyFont="1" applyBorder="1" applyAlignment="1">
      <alignment horizontal="right" wrapText="1"/>
    </xf>
    <xf numFmtId="0" fontId="0" fillId="0" borderId="87" xfId="0" applyFont="1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0" fillId="0" borderId="90" xfId="0" applyFont="1" applyBorder="1" applyAlignment="1">
      <alignment horizontal="center" wrapText="1"/>
    </xf>
    <xf numFmtId="0" fontId="0" fillId="0" borderId="86" xfId="0" applyFont="1" applyBorder="1" applyAlignment="1">
      <alignment horizontal="center" wrapText="1"/>
    </xf>
    <xf numFmtId="0" fontId="0" fillId="0" borderId="91" xfId="0" applyFont="1" applyBorder="1" applyAlignment="1">
      <alignment horizontal="center" wrapText="1"/>
    </xf>
    <xf numFmtId="0" fontId="0" fillId="0" borderId="92" xfId="0" applyFont="1" applyBorder="1" applyAlignment="1">
      <alignment horizontal="center" wrapText="1"/>
    </xf>
    <xf numFmtId="0" fontId="0" fillId="0" borderId="93" xfId="0" applyFont="1" applyBorder="1" applyAlignment="1">
      <alignment horizontal="center" wrapText="1"/>
    </xf>
    <xf numFmtId="0" fontId="0" fillId="0" borderId="94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1381125</xdr:colOff>
      <xdr:row>34</xdr:row>
      <xdr:rowOff>9525</xdr:rowOff>
    </xdr:from>
    <xdr:to>
      <xdr:col>6</xdr:col>
      <xdr:colOff>1381125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>
          <a:off x="4391025" y="5686425"/>
          <a:ext cx="0" cy="1524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40</xdr:row>
      <xdr:rowOff>9525</xdr:rowOff>
    </xdr:from>
    <xdr:to>
      <xdr:col>6</xdr:col>
      <xdr:colOff>1381125</xdr:colOff>
      <xdr:row>42</xdr:row>
      <xdr:rowOff>0</xdr:rowOff>
    </xdr:to>
    <xdr:sp>
      <xdr:nvSpPr>
        <xdr:cNvPr id="2" name="Line 6"/>
        <xdr:cNvSpPr>
          <a:spLocks/>
        </xdr:cNvSpPr>
      </xdr:nvSpPr>
      <xdr:spPr>
        <a:xfrm>
          <a:off x="4391025" y="6657975"/>
          <a:ext cx="0" cy="3143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43</xdr:row>
      <xdr:rowOff>19050</xdr:rowOff>
    </xdr:from>
    <xdr:to>
      <xdr:col>6</xdr:col>
      <xdr:colOff>1381125</xdr:colOff>
      <xdr:row>45</xdr:row>
      <xdr:rowOff>0</xdr:rowOff>
    </xdr:to>
    <xdr:sp>
      <xdr:nvSpPr>
        <xdr:cNvPr id="3" name="Line 7"/>
        <xdr:cNvSpPr>
          <a:spLocks/>
        </xdr:cNvSpPr>
      </xdr:nvSpPr>
      <xdr:spPr>
        <a:xfrm>
          <a:off x="4391025" y="7153275"/>
          <a:ext cx="0" cy="3048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" name="Line 8"/>
        <xdr:cNvSpPr>
          <a:spLocks/>
        </xdr:cNvSpPr>
      </xdr:nvSpPr>
      <xdr:spPr>
        <a:xfrm rot="5400000" flipH="1">
          <a:off x="2733675" y="8543925"/>
          <a:ext cx="276225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95250</xdr:rowOff>
    </xdr:from>
    <xdr:to>
      <xdr:col>9</xdr:col>
      <xdr:colOff>123825</xdr:colOff>
      <xdr:row>39</xdr:row>
      <xdr:rowOff>95250</xdr:rowOff>
    </xdr:to>
    <xdr:sp>
      <xdr:nvSpPr>
        <xdr:cNvPr id="5" name="Line 12"/>
        <xdr:cNvSpPr>
          <a:spLocks/>
        </xdr:cNvSpPr>
      </xdr:nvSpPr>
      <xdr:spPr>
        <a:xfrm rot="5400000">
          <a:off x="5429250" y="6581775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85725</xdr:rowOff>
    </xdr:from>
    <xdr:to>
      <xdr:col>9</xdr:col>
      <xdr:colOff>123825</xdr:colOff>
      <xdr:row>36</xdr:row>
      <xdr:rowOff>85725</xdr:rowOff>
    </xdr:to>
    <xdr:sp>
      <xdr:nvSpPr>
        <xdr:cNvPr id="6" name="Line 13"/>
        <xdr:cNvSpPr>
          <a:spLocks/>
        </xdr:cNvSpPr>
      </xdr:nvSpPr>
      <xdr:spPr>
        <a:xfrm flipH="1">
          <a:off x="5429250" y="6086475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85725</xdr:rowOff>
    </xdr:from>
    <xdr:to>
      <xdr:col>9</xdr:col>
      <xdr:colOff>123825</xdr:colOff>
      <xdr:row>12</xdr:row>
      <xdr:rowOff>85725</xdr:rowOff>
    </xdr:to>
    <xdr:sp>
      <xdr:nvSpPr>
        <xdr:cNvPr id="7" name="Line 14"/>
        <xdr:cNvSpPr>
          <a:spLocks/>
        </xdr:cNvSpPr>
      </xdr:nvSpPr>
      <xdr:spPr>
        <a:xfrm flipH="1">
          <a:off x="5429250" y="2114550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76200</xdr:rowOff>
    </xdr:from>
    <xdr:to>
      <xdr:col>9</xdr:col>
      <xdr:colOff>123825</xdr:colOff>
      <xdr:row>22</xdr:row>
      <xdr:rowOff>76200</xdr:rowOff>
    </xdr:to>
    <xdr:sp>
      <xdr:nvSpPr>
        <xdr:cNvPr id="8" name="Line 15"/>
        <xdr:cNvSpPr>
          <a:spLocks/>
        </xdr:cNvSpPr>
      </xdr:nvSpPr>
      <xdr:spPr>
        <a:xfrm flipH="1">
          <a:off x="5429250" y="3781425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12</xdr:row>
      <xdr:rowOff>76200</xdr:rowOff>
    </xdr:from>
    <xdr:to>
      <xdr:col>9</xdr:col>
      <xdr:colOff>123825</xdr:colOff>
      <xdr:row>39</xdr:row>
      <xdr:rowOff>114300</xdr:rowOff>
    </xdr:to>
    <xdr:sp>
      <xdr:nvSpPr>
        <xdr:cNvPr id="9" name="Line 16"/>
        <xdr:cNvSpPr>
          <a:spLocks/>
        </xdr:cNvSpPr>
      </xdr:nvSpPr>
      <xdr:spPr>
        <a:xfrm flipH="1">
          <a:off x="5638800" y="2105025"/>
          <a:ext cx="9525" cy="44958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1381125</xdr:colOff>
      <xdr:row>32</xdr:row>
      <xdr:rowOff>9525</xdr:rowOff>
    </xdr:from>
    <xdr:to>
      <xdr:col>6</xdr:col>
      <xdr:colOff>1381125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>
          <a:off x="4391025" y="5362575"/>
          <a:ext cx="0" cy="1524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45</xdr:row>
      <xdr:rowOff>76200</xdr:rowOff>
    </xdr:from>
    <xdr:to>
      <xdr:col>9</xdr:col>
      <xdr:colOff>123825</xdr:colOff>
      <xdr:row>51</xdr:row>
      <xdr:rowOff>104775</xdr:rowOff>
    </xdr:to>
    <xdr:sp>
      <xdr:nvSpPr>
        <xdr:cNvPr id="11" name="Line 18"/>
        <xdr:cNvSpPr>
          <a:spLocks/>
        </xdr:cNvSpPr>
      </xdr:nvSpPr>
      <xdr:spPr>
        <a:xfrm>
          <a:off x="5648325" y="7534275"/>
          <a:ext cx="0" cy="9429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51</xdr:row>
      <xdr:rowOff>95250</xdr:rowOff>
    </xdr:from>
    <xdr:to>
      <xdr:col>9</xdr:col>
      <xdr:colOff>123825</xdr:colOff>
      <xdr:row>51</xdr:row>
      <xdr:rowOff>95250</xdr:rowOff>
    </xdr:to>
    <xdr:sp>
      <xdr:nvSpPr>
        <xdr:cNvPr id="12" name="Line 19"/>
        <xdr:cNvSpPr>
          <a:spLocks/>
        </xdr:cNvSpPr>
      </xdr:nvSpPr>
      <xdr:spPr>
        <a:xfrm rot="5400000">
          <a:off x="5429250" y="8467725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85725</xdr:rowOff>
    </xdr:from>
    <xdr:to>
      <xdr:col>9</xdr:col>
      <xdr:colOff>123825</xdr:colOff>
      <xdr:row>45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5429250" y="7543800"/>
          <a:ext cx="2190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95250</xdr:rowOff>
    </xdr:from>
    <xdr:to>
      <xdr:col>9</xdr:col>
      <xdr:colOff>228600</xdr:colOff>
      <xdr:row>52</xdr:row>
      <xdr:rowOff>95250</xdr:rowOff>
    </xdr:to>
    <xdr:sp>
      <xdr:nvSpPr>
        <xdr:cNvPr id="14" name="Line 22"/>
        <xdr:cNvSpPr>
          <a:spLocks/>
        </xdr:cNvSpPr>
      </xdr:nvSpPr>
      <xdr:spPr>
        <a:xfrm>
          <a:off x="5753100" y="1476375"/>
          <a:ext cx="0" cy="716280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52</xdr:row>
      <xdr:rowOff>85725</xdr:rowOff>
    </xdr:from>
    <xdr:to>
      <xdr:col>9</xdr:col>
      <xdr:colOff>228600</xdr:colOff>
      <xdr:row>52</xdr:row>
      <xdr:rowOff>85725</xdr:rowOff>
    </xdr:to>
    <xdr:sp>
      <xdr:nvSpPr>
        <xdr:cNvPr id="15" name="Line 23"/>
        <xdr:cNvSpPr>
          <a:spLocks/>
        </xdr:cNvSpPr>
      </xdr:nvSpPr>
      <xdr:spPr>
        <a:xfrm rot="5400000">
          <a:off x="5429250" y="8629650"/>
          <a:ext cx="323850" cy="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95250</xdr:rowOff>
    </xdr:from>
    <xdr:to>
      <xdr:col>9</xdr:col>
      <xdr:colOff>228600</xdr:colOff>
      <xdr:row>8</xdr:row>
      <xdr:rowOff>95250</xdr:rowOff>
    </xdr:to>
    <xdr:sp>
      <xdr:nvSpPr>
        <xdr:cNvPr id="16" name="Line 24"/>
        <xdr:cNvSpPr>
          <a:spLocks/>
        </xdr:cNvSpPr>
      </xdr:nvSpPr>
      <xdr:spPr>
        <a:xfrm flipH="1">
          <a:off x="5419725" y="1476375"/>
          <a:ext cx="333375" cy="0"/>
        </a:xfrm>
        <a:prstGeom prst="line">
          <a:avLst/>
        </a:prstGeom>
        <a:noFill/>
        <a:ln w="1905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6">
      <pane ySplit="5400" topLeftCell="BM51" activePane="topLeft" state="split"/>
      <selection pane="topLeft" activeCell="K6" sqref="K6"/>
      <selection pane="bottomLeft" activeCell="K14" sqref="K14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13.7109375" style="0" customWidth="1"/>
    <col min="4" max="4" width="1.7109375" style="0" customWidth="1"/>
    <col min="5" max="5" width="0.71875" style="0" customWidth="1"/>
    <col min="6" max="6" width="1.7109375" style="0" customWidth="1"/>
    <col min="7" max="7" width="23.421875" style="0" customWidth="1"/>
    <col min="8" max="8" width="12.57421875" style="0" customWidth="1"/>
    <col min="9" max="9" width="1.7109375" style="0" customWidth="1"/>
    <col min="10" max="10" width="5.57421875" style="0" customWidth="1"/>
  </cols>
  <sheetData>
    <row r="1" spans="2:8" ht="17.25">
      <c r="B1" s="261" t="s">
        <v>46</v>
      </c>
      <c r="C1" s="33"/>
      <c r="E1" s="22"/>
      <c r="F1" s="7"/>
      <c r="G1" s="261" t="s">
        <v>39</v>
      </c>
      <c r="H1" s="33"/>
    </row>
    <row r="2" spans="5:6" ht="12.75" customHeight="1">
      <c r="E2" s="22"/>
      <c r="F2" s="7"/>
    </row>
    <row r="3" spans="2:9" ht="12.75" customHeight="1" thickBot="1">
      <c r="B3" s="14" t="s">
        <v>34</v>
      </c>
      <c r="C3" s="278"/>
      <c r="D3" s="4"/>
      <c r="E3" s="26"/>
      <c r="F3" s="25"/>
      <c r="I3" s="4"/>
    </row>
    <row r="4" spans="1:9" ht="15" customHeight="1" thickTop="1">
      <c r="A4" s="279"/>
      <c r="B4" s="280" t="s">
        <v>157</v>
      </c>
      <c r="C4" s="281"/>
      <c r="D4" s="281"/>
      <c r="E4" s="282"/>
      <c r="F4" s="283"/>
      <c r="G4" s="284"/>
      <c r="H4" s="295"/>
      <c r="I4" s="285"/>
    </row>
    <row r="5" spans="1:9" ht="12.75" customHeight="1">
      <c r="A5" s="286"/>
      <c r="B5" s="17" t="s">
        <v>136</v>
      </c>
      <c r="C5" s="253">
        <v>2002</v>
      </c>
      <c r="D5" s="4"/>
      <c r="E5" s="26"/>
      <c r="F5" s="25"/>
      <c r="G5" s="232" t="s">
        <v>94</v>
      </c>
      <c r="H5" s="271"/>
      <c r="I5" s="287"/>
    </row>
    <row r="6" spans="1:9" ht="12.75" customHeight="1">
      <c r="A6" s="286"/>
      <c r="B6" s="17" t="s">
        <v>80</v>
      </c>
      <c r="C6" s="257">
        <f>'GVT bid breakdown'!E25</f>
        <v>173725.55538980773</v>
      </c>
      <c r="D6" s="4"/>
      <c r="E6" s="26"/>
      <c r="F6" s="25"/>
      <c r="G6" s="268" t="s">
        <v>156</v>
      </c>
      <c r="H6" s="269">
        <f>C7*C6*POWER(1+$C$37,$C$35-$C$5)</f>
        <v>1116594.9484346807</v>
      </c>
      <c r="I6" s="287"/>
    </row>
    <row r="7" spans="1:9" ht="12.75" customHeight="1">
      <c r="A7" s="286"/>
      <c r="B7" s="153" t="s">
        <v>33</v>
      </c>
      <c r="C7" s="260">
        <v>6</v>
      </c>
      <c r="D7" s="4"/>
      <c r="E7" s="26"/>
      <c r="F7" s="25"/>
      <c r="G7" s="268" t="s">
        <v>155</v>
      </c>
      <c r="H7" s="269">
        <f>C8*POWER(1+$C$36,$C$35-2003)</f>
        <v>57059.94</v>
      </c>
      <c r="I7" s="287"/>
    </row>
    <row r="8" spans="1:9" ht="12.75" customHeight="1">
      <c r="A8" s="286"/>
      <c r="B8" s="17" t="s">
        <v>138</v>
      </c>
      <c r="C8" s="257">
        <v>55398</v>
      </c>
      <c r="D8" s="4"/>
      <c r="E8" s="26"/>
      <c r="F8" s="25"/>
      <c r="G8" s="17" t="s">
        <v>96</v>
      </c>
      <c r="H8" s="221">
        <f>C9</f>
        <v>5000</v>
      </c>
      <c r="I8" s="287"/>
    </row>
    <row r="9" spans="1:9" ht="12.75" customHeight="1">
      <c r="A9" s="286"/>
      <c r="B9" s="17" t="s">
        <v>95</v>
      </c>
      <c r="C9" s="257">
        <v>5000</v>
      </c>
      <c r="D9" s="4"/>
      <c r="E9" s="26"/>
      <c r="F9" s="25"/>
      <c r="G9" s="222" t="s">
        <v>97</v>
      </c>
      <c r="H9" s="194">
        <f>SUM(H6:H8)</f>
        <v>1178654.8884346806</v>
      </c>
      <c r="I9" s="267"/>
    </row>
    <row r="10" spans="1:9" ht="12.75" customHeight="1">
      <c r="A10" s="286"/>
      <c r="B10" s="4"/>
      <c r="C10" s="4"/>
      <c r="D10" s="4"/>
      <c r="E10" s="26"/>
      <c r="F10" s="25"/>
      <c r="G10" s="15"/>
      <c r="H10" s="35"/>
      <c r="I10" s="287"/>
    </row>
    <row r="11" spans="1:9" ht="12.75" customHeight="1">
      <c r="A11" s="286"/>
      <c r="B11" s="15" t="s">
        <v>162</v>
      </c>
      <c r="C11" s="270">
        <v>2002</v>
      </c>
      <c r="D11" s="4"/>
      <c r="E11" s="26"/>
      <c r="F11" s="25"/>
      <c r="G11" s="4"/>
      <c r="H11" s="27"/>
      <c r="I11" s="287"/>
    </row>
    <row r="12" spans="1:9" ht="12.75" customHeight="1">
      <c r="A12" s="286"/>
      <c r="B12" s="17" t="s">
        <v>72</v>
      </c>
      <c r="C12" s="257">
        <v>6000</v>
      </c>
      <c r="D12" s="4"/>
      <c r="E12" s="26"/>
      <c r="F12" s="25"/>
      <c r="G12" s="216" t="s">
        <v>147</v>
      </c>
      <c r="H12" s="216"/>
      <c r="I12" s="287"/>
    </row>
    <row r="13" spans="1:9" ht="12.75" customHeight="1">
      <c r="A13" s="286"/>
      <c r="B13" s="17" t="s">
        <v>75</v>
      </c>
      <c r="C13" s="257">
        <v>2220</v>
      </c>
      <c r="D13" s="4"/>
      <c r="E13" s="26"/>
      <c r="F13" s="25"/>
      <c r="G13" s="222" t="s">
        <v>145</v>
      </c>
      <c r="H13" s="223">
        <f>(C12-C13)*POWER(1+$C$36,$C$35-$C$11)</f>
        <v>4010.2019999999998</v>
      </c>
      <c r="I13" s="267"/>
    </row>
    <row r="14" spans="1:9" ht="12.75" customHeight="1" thickBot="1">
      <c r="A14" s="288"/>
      <c r="B14" s="289"/>
      <c r="C14" s="289"/>
      <c r="D14" s="289"/>
      <c r="E14" s="290"/>
      <c r="F14" s="291"/>
      <c r="G14" s="289"/>
      <c r="H14" s="292"/>
      <c r="I14" s="293"/>
    </row>
    <row r="15" spans="2:8" ht="12.75" customHeight="1" thickTop="1">
      <c r="B15" s="4"/>
      <c r="C15" s="24"/>
      <c r="E15" s="22"/>
      <c r="F15" s="7"/>
      <c r="H15" s="23"/>
    </row>
    <row r="16" spans="2:8" ht="12.75" customHeight="1" thickBot="1">
      <c r="B16" s="14" t="s">
        <v>35</v>
      </c>
      <c r="C16" s="24"/>
      <c r="E16" s="22"/>
      <c r="F16" s="7"/>
      <c r="H16" s="23"/>
    </row>
    <row r="17" spans="1:9" ht="15" customHeight="1" thickTop="1">
      <c r="A17" s="279"/>
      <c r="B17" s="280" t="s">
        <v>36</v>
      </c>
      <c r="C17" s="281"/>
      <c r="D17" s="281"/>
      <c r="E17" s="282"/>
      <c r="F17" s="283"/>
      <c r="G17" s="281"/>
      <c r="H17" s="281"/>
      <c r="I17" s="285"/>
    </row>
    <row r="18" spans="1:9" ht="12.75" customHeight="1">
      <c r="A18" s="286"/>
      <c r="B18" s="17" t="s">
        <v>43</v>
      </c>
      <c r="C18" s="258">
        <v>1.5</v>
      </c>
      <c r="D18" s="4"/>
      <c r="E18" s="26"/>
      <c r="F18" s="25"/>
      <c r="G18" s="4"/>
      <c r="H18" s="4"/>
      <c r="I18" s="287"/>
    </row>
    <row r="19" spans="1:9" ht="12.75" customHeight="1">
      <c r="A19" s="286"/>
      <c r="B19" s="153" t="s">
        <v>47</v>
      </c>
      <c r="C19" s="259">
        <v>17739</v>
      </c>
      <c r="D19" s="4"/>
      <c r="E19" s="26"/>
      <c r="F19" s="25"/>
      <c r="G19" s="216" t="s">
        <v>147</v>
      </c>
      <c r="H19" s="216"/>
      <c r="I19" s="287"/>
    </row>
    <row r="20" spans="1:9" ht="15" customHeight="1">
      <c r="A20" s="286"/>
      <c r="B20" s="178" t="s">
        <v>37</v>
      </c>
      <c r="C20" s="4"/>
      <c r="D20" s="4"/>
      <c r="E20" s="26"/>
      <c r="F20" s="25"/>
      <c r="G20" s="17" t="s">
        <v>42</v>
      </c>
      <c r="H20" s="224">
        <f>C18*C19</f>
        <v>26608.5</v>
      </c>
      <c r="I20" s="287"/>
    </row>
    <row r="21" spans="1:9" ht="12.75" customHeight="1">
      <c r="A21" s="286"/>
      <c r="B21" s="214" t="s">
        <v>137</v>
      </c>
      <c r="C21" s="253">
        <v>2002</v>
      </c>
      <c r="D21" s="4"/>
      <c r="E21" s="26"/>
      <c r="F21" s="25"/>
      <c r="G21" s="17" t="s">
        <v>41</v>
      </c>
      <c r="H21" s="274">
        <f>$C$23*$C$22*POWER(1+$C$36,$C$35-$C$21)</f>
        <v>62048.22175999999</v>
      </c>
      <c r="I21" s="287"/>
    </row>
    <row r="22" spans="1:9" ht="12.75" customHeight="1">
      <c r="A22" s="286"/>
      <c r="B22" s="17" t="s">
        <v>44</v>
      </c>
      <c r="C22" s="258">
        <v>11.2</v>
      </c>
      <c r="D22" s="4"/>
      <c r="E22" s="26"/>
      <c r="F22" s="25"/>
      <c r="G22" s="275" t="s">
        <v>143</v>
      </c>
      <c r="H22" s="232"/>
      <c r="I22" s="287"/>
    </row>
    <row r="23" spans="1:9" ht="12.75" customHeight="1">
      <c r="A23" s="286"/>
      <c r="B23" s="17" t="s">
        <v>74</v>
      </c>
      <c r="C23" s="259">
        <v>5222</v>
      </c>
      <c r="D23" s="4"/>
      <c r="E23" s="26"/>
      <c r="F23" s="25"/>
      <c r="G23" s="276" t="s">
        <v>144</v>
      </c>
      <c r="H23" s="277">
        <f>H20+H21</f>
        <v>88656.72175999999</v>
      </c>
      <c r="I23" s="267"/>
    </row>
    <row r="24" spans="1:9" ht="12.75" customHeight="1">
      <c r="A24" s="286"/>
      <c r="B24" s="4"/>
      <c r="C24" s="30"/>
      <c r="D24" s="4"/>
      <c r="E24" s="26"/>
      <c r="F24" s="25"/>
      <c r="G24" s="4"/>
      <c r="H24" s="36"/>
      <c r="I24" s="287"/>
    </row>
    <row r="25" spans="1:9" ht="12.75" customHeight="1">
      <c r="A25" s="286"/>
      <c r="B25" s="178" t="s">
        <v>38</v>
      </c>
      <c r="C25" s="4"/>
      <c r="D25" s="4"/>
      <c r="E25" s="26"/>
      <c r="F25" s="25"/>
      <c r="G25" s="4"/>
      <c r="H25" s="27"/>
      <c r="I25" s="287"/>
    </row>
    <row r="26" spans="1:9" ht="12.75" customHeight="1">
      <c r="A26" s="286"/>
      <c r="B26" s="211" t="s">
        <v>135</v>
      </c>
      <c r="C26" s="212"/>
      <c r="D26" s="4"/>
      <c r="E26" s="26"/>
      <c r="F26" s="25"/>
      <c r="G26" s="225" t="s">
        <v>98</v>
      </c>
      <c r="H26" s="226"/>
      <c r="I26" s="287"/>
    </row>
    <row r="27" spans="1:9" ht="15">
      <c r="A27" s="286"/>
      <c r="B27" s="213" t="s">
        <v>89</v>
      </c>
      <c r="C27" s="256">
        <v>2002</v>
      </c>
      <c r="D27" s="25"/>
      <c r="E27" s="26"/>
      <c r="F27" s="25"/>
      <c r="G27" s="227" t="s">
        <v>148</v>
      </c>
      <c r="H27" s="228"/>
      <c r="I27" s="287"/>
    </row>
    <row r="28" spans="1:9" ht="12.75" customHeight="1">
      <c r="A28" s="286"/>
      <c r="B28" s="214" t="s">
        <v>68</v>
      </c>
      <c r="C28" s="257">
        <v>3470000</v>
      </c>
      <c r="D28" s="4"/>
      <c r="E28" s="26"/>
      <c r="F28" s="25"/>
      <c r="G28" s="214" t="s">
        <v>68</v>
      </c>
      <c r="H28" s="220">
        <f>C28*POWER(1+$C$36,$C$35-$C$27)</f>
        <v>3681323</v>
      </c>
      <c r="I28" s="287"/>
    </row>
    <row r="29" spans="1:9" ht="12.75" customHeight="1">
      <c r="A29" s="286"/>
      <c r="B29" s="214" t="s">
        <v>67</v>
      </c>
      <c r="C29" s="257">
        <v>172000</v>
      </c>
      <c r="D29" s="4"/>
      <c r="E29" s="26"/>
      <c r="F29" s="25"/>
      <c r="G29" s="214" t="s">
        <v>67</v>
      </c>
      <c r="H29" s="220">
        <f>C29*POWER(1+$C$36,$C$35-$C$27)</f>
        <v>182474.8</v>
      </c>
      <c r="I29" s="287"/>
    </row>
    <row r="30" spans="1:9" ht="12.75" customHeight="1">
      <c r="A30" s="286"/>
      <c r="B30" s="214" t="s">
        <v>99</v>
      </c>
      <c r="C30" s="257">
        <v>44200</v>
      </c>
      <c r="D30" s="4"/>
      <c r="E30" s="26"/>
      <c r="F30" s="25"/>
      <c r="G30" s="214" t="s">
        <v>73</v>
      </c>
      <c r="H30" s="220">
        <f>C30*POWER(1+$C$36,$C$35-$C$27)</f>
        <v>46891.78</v>
      </c>
      <c r="I30" s="287"/>
    </row>
    <row r="31" spans="1:9" ht="12.75" customHeight="1">
      <c r="A31" s="286"/>
      <c r="B31" s="214" t="s">
        <v>69</v>
      </c>
      <c r="C31" s="257">
        <v>21000</v>
      </c>
      <c r="D31" s="4"/>
      <c r="E31" s="26"/>
      <c r="F31" s="25"/>
      <c r="G31" s="214" t="s">
        <v>69</v>
      </c>
      <c r="H31" s="220">
        <f>C31*POWER(1+$C$36,$C$35-$C$27)</f>
        <v>22278.899999999998</v>
      </c>
      <c r="I31" s="287"/>
    </row>
    <row r="32" spans="1:9" ht="12.75" customHeight="1">
      <c r="A32" s="286"/>
      <c r="B32" s="214" t="s">
        <v>70</v>
      </c>
      <c r="C32" s="257">
        <v>2000</v>
      </c>
      <c r="D32" s="4"/>
      <c r="E32" s="26"/>
      <c r="F32" s="25"/>
      <c r="G32" s="214" t="s">
        <v>70</v>
      </c>
      <c r="H32" s="220">
        <f>C32*POWER(1+$C$36,$C$35-$C$27)</f>
        <v>2121.7999999999997</v>
      </c>
      <c r="I32" s="287"/>
    </row>
    <row r="33" spans="1:9" ht="12.75" customHeight="1">
      <c r="A33" s="286"/>
      <c r="B33" s="297"/>
      <c r="C33" s="204"/>
      <c r="D33" s="4"/>
      <c r="E33" s="26"/>
      <c r="F33" s="25"/>
      <c r="G33" s="5"/>
      <c r="H33" s="4"/>
      <c r="I33" s="287"/>
    </row>
    <row r="34" spans="1:9" ht="12.75" customHeight="1">
      <c r="A34" s="286"/>
      <c r="B34" s="215" t="s">
        <v>139</v>
      </c>
      <c r="C34" s="216"/>
      <c r="D34" s="4"/>
      <c r="E34" s="26"/>
      <c r="F34" s="25"/>
      <c r="G34" s="229" t="s">
        <v>40</v>
      </c>
      <c r="H34" s="230"/>
      <c r="I34" s="287"/>
    </row>
    <row r="35" spans="1:9" ht="12.75" customHeight="1">
      <c r="A35" s="286"/>
      <c r="B35" s="273" t="s">
        <v>10</v>
      </c>
      <c r="C35" s="255">
        <v>2004</v>
      </c>
      <c r="D35" s="4"/>
      <c r="E35" s="26"/>
      <c r="F35" s="25"/>
      <c r="G35" s="4"/>
      <c r="H35" s="4"/>
      <c r="I35" s="287"/>
    </row>
    <row r="36" spans="1:9" ht="12.75" customHeight="1">
      <c r="A36" s="286"/>
      <c r="B36" s="217" t="s">
        <v>149</v>
      </c>
      <c r="C36" s="254">
        <v>0.03</v>
      </c>
      <c r="D36" s="4"/>
      <c r="E36" s="26"/>
      <c r="F36" s="25"/>
      <c r="G36" s="231" t="s">
        <v>141</v>
      </c>
      <c r="H36" s="232"/>
      <c r="I36" s="287"/>
    </row>
    <row r="37" spans="1:9" ht="12.75" customHeight="1">
      <c r="A37" s="286"/>
      <c r="B37" s="217" t="s">
        <v>150</v>
      </c>
      <c r="C37" s="272">
        <v>0.035</v>
      </c>
      <c r="D37" s="4"/>
      <c r="E37" s="26"/>
      <c r="F37" s="25"/>
      <c r="G37" s="233" t="s">
        <v>142</v>
      </c>
      <c r="H37" s="234">
        <f>'Crash History'!J54</f>
        <v>2656988.686666667</v>
      </c>
      <c r="I37" s="267"/>
    </row>
    <row r="38" spans="1:9" ht="12.75" customHeight="1" thickBot="1">
      <c r="A38" s="288"/>
      <c r="B38" s="294"/>
      <c r="C38" s="294"/>
      <c r="D38" s="289"/>
      <c r="E38" s="290"/>
      <c r="F38" s="291"/>
      <c r="G38" s="289"/>
      <c r="H38" s="289"/>
      <c r="I38" s="293"/>
    </row>
    <row r="39" spans="4:6" ht="12.75" customHeight="1" thickTop="1">
      <c r="D39" s="4"/>
      <c r="E39" s="26"/>
      <c r="F39" s="25"/>
    </row>
    <row r="40" spans="2:8" ht="12.75" customHeight="1">
      <c r="B40" s="214" t="s">
        <v>81</v>
      </c>
      <c r="C40" s="17"/>
      <c r="D40" s="4"/>
      <c r="E40" s="22"/>
      <c r="F40" s="7"/>
      <c r="G40" s="296" t="s">
        <v>140</v>
      </c>
      <c r="H40" s="239">
        <f>SUM(H13,H23,H37)</f>
        <v>2749655.610426667</v>
      </c>
    </row>
    <row r="41" spans="2:8" ht="12.75" customHeight="1">
      <c r="B41" s="17" t="s">
        <v>45</v>
      </c>
      <c r="C41" s="252">
        <v>2005</v>
      </c>
      <c r="D41" s="28"/>
      <c r="E41" s="22"/>
      <c r="F41" s="7"/>
      <c r="G41" s="4"/>
      <c r="H41" s="35"/>
    </row>
    <row r="42" spans="2:7" ht="12.75" customHeight="1">
      <c r="B42" s="214" t="s">
        <v>91</v>
      </c>
      <c r="C42" s="253">
        <v>20</v>
      </c>
      <c r="D42" s="4"/>
      <c r="E42" s="22"/>
      <c r="F42" s="7"/>
      <c r="G42" s="5"/>
    </row>
    <row r="43" spans="2:8" ht="12.75" customHeight="1">
      <c r="B43" s="214" t="s">
        <v>151</v>
      </c>
      <c r="C43" s="254">
        <v>0.03</v>
      </c>
      <c r="D43" s="4"/>
      <c r="E43" s="22"/>
      <c r="F43" s="7"/>
      <c r="G43" s="298" t="s">
        <v>161</v>
      </c>
      <c r="H43" s="235"/>
    </row>
    <row r="44" spans="2:6" ht="12.75" customHeight="1">
      <c r="B44" s="214" t="s">
        <v>152</v>
      </c>
      <c r="C44" s="254">
        <v>0.0045</v>
      </c>
      <c r="D44" s="4"/>
      <c r="E44" s="22"/>
      <c r="F44" s="7"/>
    </row>
    <row r="45" spans="2:6" ht="12.75" customHeight="1">
      <c r="B45" s="214" t="s">
        <v>153</v>
      </c>
      <c r="C45" s="254">
        <f>C44+C43</f>
        <v>0.034499999999999996</v>
      </c>
      <c r="D45" s="4"/>
      <c r="E45" s="22"/>
      <c r="F45" s="7"/>
    </row>
    <row r="46" spans="2:8" ht="12.75" customHeight="1">
      <c r="B46" s="214" t="s">
        <v>154</v>
      </c>
      <c r="C46" s="254">
        <v>0.07</v>
      </c>
      <c r="D46" s="4"/>
      <c r="E46" s="22"/>
      <c r="F46" s="7"/>
      <c r="G46" s="222" t="s">
        <v>146</v>
      </c>
      <c r="H46" s="223">
        <f>Amortize!D34</f>
        <v>40671538.60643884</v>
      </c>
    </row>
    <row r="47" spans="4:6" ht="12.75" customHeight="1">
      <c r="D47" s="4"/>
      <c r="E47" s="22"/>
      <c r="F47" s="7"/>
    </row>
    <row r="48" spans="1:10" ht="3" customHeight="1">
      <c r="A48" s="22"/>
      <c r="B48" s="22"/>
      <c r="C48" s="22"/>
      <c r="D48" s="22"/>
      <c r="E48" s="22"/>
      <c r="F48" s="22"/>
      <c r="G48" s="22"/>
      <c r="H48" s="22"/>
      <c r="I48" s="22"/>
      <c r="J48" s="7"/>
    </row>
    <row r="49" spans="5:6" ht="12.75" customHeight="1">
      <c r="E49" s="7"/>
      <c r="F49" s="7"/>
    </row>
    <row r="50" spans="2:8" s="2" customFormat="1" ht="18" customHeight="1">
      <c r="B50" s="31" t="s">
        <v>90</v>
      </c>
      <c r="C50" s="87"/>
      <c r="D50" s="33"/>
      <c r="E50" s="34"/>
      <c r="F50" s="34"/>
      <c r="G50" s="33"/>
      <c r="H50" s="32"/>
    </row>
    <row r="51" spans="2:8" ht="12.75" customHeight="1">
      <c r="B51" s="31"/>
      <c r="C51" s="33"/>
      <c r="D51" s="33"/>
      <c r="E51" s="34"/>
      <c r="F51" s="34"/>
      <c r="G51" s="33"/>
      <c r="H51" s="32"/>
    </row>
    <row r="52" spans="2:8" s="2" customFormat="1" ht="13.5" customHeight="1">
      <c r="B52" s="218" t="s">
        <v>84</v>
      </c>
      <c r="C52" s="250">
        <f>H46-H9</f>
        <v>39492883.71800416</v>
      </c>
      <c r="D52" s="37"/>
      <c r="E52" s="38"/>
      <c r="F52" s="38"/>
      <c r="G52" s="236" t="str">
        <f>G46</f>
        <v>PV benefit of 6 rbts.</v>
      </c>
      <c r="H52" s="237">
        <f>H46</f>
        <v>40671538.60643884</v>
      </c>
    </row>
    <row r="53" spans="2:8" s="2" customFormat="1" ht="13.5" customHeight="1">
      <c r="B53" s="219" t="s">
        <v>71</v>
      </c>
      <c r="C53" s="251">
        <f>H46/H9</f>
        <v>34.50674069697612</v>
      </c>
      <c r="E53" s="38"/>
      <c r="F53" s="38"/>
      <c r="G53" s="236" t="str">
        <f>G9</f>
        <v>PV cost of 6 roundabouts</v>
      </c>
      <c r="H53" s="238">
        <f>H9</f>
        <v>1178654.8884346806</v>
      </c>
    </row>
    <row r="54" spans="2:6" ht="12.75" customHeight="1">
      <c r="B54" s="15"/>
      <c r="C54" s="39"/>
      <c r="E54" s="7"/>
      <c r="F54" s="7"/>
    </row>
    <row r="55" ht="12.75" customHeight="1">
      <c r="C55" s="52"/>
    </row>
    <row r="56" ht="12.75" customHeight="1"/>
    <row r="57" ht="12.75" customHeight="1"/>
    <row r="58" ht="12.75" customHeight="1"/>
  </sheetData>
  <printOptions/>
  <pageMargins left="1" right="0.25" top="0.64" bottom="0.6" header="0.25" footer="0.25"/>
  <pageSetup horizontalDpi="200" verticalDpi="200" orientation="portrait" r:id="rId2"/>
  <headerFooter alignWithMargins="0">
    <oddFooter>&amp;L&amp;8&amp;F  -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workbookViewId="0" topLeftCell="A1">
      <selection activeCell="D38" sqref="D38"/>
    </sheetView>
  </sheetViews>
  <sheetFormatPr defaultColWidth="9.140625" defaultRowHeight="12.75"/>
  <cols>
    <col min="1" max="1" width="11.57421875" style="138" customWidth="1"/>
    <col min="2" max="2" width="17.7109375" style="6" customWidth="1"/>
    <col min="3" max="3" width="18.28125" style="6" customWidth="1"/>
    <col min="4" max="4" width="14.140625" style="6" customWidth="1"/>
    <col min="5" max="5" width="11.28125" style="6" customWidth="1"/>
    <col min="6" max="6" width="13.140625" style="6" customWidth="1"/>
    <col min="7" max="16384" width="8.8515625" style="6" customWidth="1"/>
  </cols>
  <sheetData>
    <row r="1" spans="1:6" s="117" customFormat="1" ht="27.75" customHeight="1" thickBot="1">
      <c r="A1" s="262" t="s">
        <v>88</v>
      </c>
      <c r="B1" s="263"/>
      <c r="C1" s="263"/>
      <c r="D1" s="266"/>
      <c r="E1" s="265"/>
      <c r="F1" s="265"/>
    </row>
    <row r="2" spans="1:6" ht="33" customHeight="1">
      <c r="A2" s="133" t="s">
        <v>82</v>
      </c>
      <c r="B2" s="133" t="s">
        <v>87</v>
      </c>
      <c r="C2" s="134" t="s">
        <v>85</v>
      </c>
      <c r="D2" s="135" t="s">
        <v>86</v>
      </c>
      <c r="E2" s="176" t="s">
        <v>92</v>
      </c>
      <c r="F2" s="176" t="s">
        <v>93</v>
      </c>
    </row>
    <row r="3" spans="1:6" ht="15" customHeight="1">
      <c r="A3" s="136">
        <v>1</v>
      </c>
      <c r="B3" s="127">
        <f>'Inputs &amp; Outputs'!C41</f>
        <v>2005</v>
      </c>
      <c r="C3" s="113">
        <f>'Inputs &amp; Outputs'!H40</f>
        <v>2749655.610426667</v>
      </c>
      <c r="D3" s="115">
        <f>C3*(1/(1+'Inputs &amp; Outputs'!$C$46)^(B3-'Inputs &amp; Outputs'!$C$41))</f>
        <v>2749655.610426667</v>
      </c>
      <c r="E3" s="174">
        <f>'Inputs &amp; Outputs'!C19</f>
        <v>17739</v>
      </c>
      <c r="F3" s="175">
        <v>179440</v>
      </c>
    </row>
    <row r="4" spans="1:6" ht="15" customHeight="1">
      <c r="A4" s="137">
        <v>2</v>
      </c>
      <c r="B4" s="128">
        <f>IF(B3&lt;('Inputs &amp; Outputs'!$C$41+'Inputs &amp; Outputs'!$C$42-1),IF(B3&gt;0,B3+1,0),0)</f>
        <v>2006</v>
      </c>
      <c r="C4" s="113">
        <f>IF(B4=0,0,C3*(1+'Inputs &amp; Outputs'!$C$45))</f>
        <v>2844518.728986387</v>
      </c>
      <c r="D4" s="115">
        <f>C4*(1/(1+'Inputs &amp; Outputs'!$C$46)^(B4-'Inputs &amp; Outputs'!$C$41))</f>
        <v>2658428.7186788665</v>
      </c>
      <c r="E4" s="172">
        <f>IF(B4=0,0,E3*(1+'Inputs &amp; Outputs'!$C$44))</f>
        <v>17818.8255</v>
      </c>
      <c r="F4" s="172">
        <f>IF(B4=0,0,F3*(1+'Inputs &amp; Outputs'!$C$44))</f>
        <v>180247.47999999998</v>
      </c>
    </row>
    <row r="5" spans="1:6" ht="15" customHeight="1">
      <c r="A5" s="137">
        <v>3</v>
      </c>
      <c r="B5" s="128">
        <f>IF(B4&lt;('Inputs &amp; Outputs'!$C$41+'Inputs &amp; Outputs'!$C$42-1),IF(B4&gt;0,B4+1,0),0)</f>
        <v>2007</v>
      </c>
      <c r="C5" s="113">
        <f>IF(B5=0,0,C4*(1+'Inputs &amp; Outputs'!$C$45))</f>
        <v>2942654.6251364173</v>
      </c>
      <c r="D5" s="115">
        <f>C5*(1/(1+'Inputs &amp; Outputs'!$C$46)^(B5-'Inputs &amp; Outputs'!$C$41))</f>
        <v>2570228.5135264364</v>
      </c>
      <c r="E5" s="172">
        <f>IF(B5=0,0,E4*(1+'Inputs &amp; Outputs'!$C$44))</f>
        <v>17899.010214749997</v>
      </c>
      <c r="F5" s="172">
        <f>IF(B5=0,0,F4*(1+'Inputs &amp; Outputs'!$C$44))</f>
        <v>181058.59365999998</v>
      </c>
    </row>
    <row r="6" spans="1:6" ht="15" customHeight="1">
      <c r="A6" s="137">
        <v>4</v>
      </c>
      <c r="B6" s="128">
        <f>IF(B5&lt;('Inputs &amp; Outputs'!$C$41+'Inputs &amp; Outputs'!$C$42-1),IF(B5&gt;0,B5+1,0),0)</f>
        <v>2008</v>
      </c>
      <c r="C6" s="113">
        <f>IF(B6=0,0,C5*(1+'Inputs &amp; Outputs'!$C$45))</f>
        <v>3044176.209703624</v>
      </c>
      <c r="D6" s="115">
        <f>C6*(1/(1+'Inputs &amp; Outputs'!$C$46)^(B6-'Inputs &amp; Outputs'!$C$41))</f>
        <v>2484954.5768627087</v>
      </c>
      <c r="E6" s="172">
        <f>IF(B6=0,0,E5*(1+'Inputs &amp; Outputs'!$C$44))</f>
        <v>17979.555760716372</v>
      </c>
      <c r="F6" s="172">
        <f>IF(B6=0,0,F5*(1+'Inputs &amp; Outputs'!$C$44))</f>
        <v>181873.35733146998</v>
      </c>
    </row>
    <row r="7" spans="1:6" ht="15" customHeight="1">
      <c r="A7" s="137">
        <v>5</v>
      </c>
      <c r="B7" s="128">
        <f>IF(B6&lt;('Inputs &amp; Outputs'!$C$41+'Inputs &amp; Outputs'!$C$42-1),IF(B6&gt;0,B6+1,0),0)</f>
        <v>2009</v>
      </c>
      <c r="C7" s="113">
        <f>IF(B7=0,0,C6*(1+'Inputs &amp; Outputs'!$C$45))</f>
        <v>3149200.288938399</v>
      </c>
      <c r="D7" s="115">
        <f>C7*(1/(1+'Inputs &amp; Outputs'!$C$46)^(B7-'Inputs &amp; Outputs'!$C$41))</f>
        <v>2402509.8222097876</v>
      </c>
      <c r="E7" s="172">
        <f>IF(B7=0,0,E6*(1+'Inputs &amp; Outputs'!$C$44))</f>
        <v>18060.463761639596</v>
      </c>
      <c r="F7" s="172">
        <f>IF(B7=0,0,F6*(1+'Inputs &amp; Outputs'!$C$44))</f>
        <v>182691.7874394616</v>
      </c>
    </row>
    <row r="8" spans="1:6" ht="15" customHeight="1">
      <c r="A8" s="137">
        <v>6</v>
      </c>
      <c r="B8" s="128">
        <f>IF(B7&lt;('Inputs &amp; Outputs'!$C$41+'Inputs &amp; Outputs'!$C$42-1),IF(B7&gt;0,B7+1,0),0)</f>
        <v>2010</v>
      </c>
      <c r="C8" s="113">
        <f>IF(B8=0,0,C7*(1+'Inputs &amp; Outputs'!$C$45))</f>
        <v>3257847.6989067737</v>
      </c>
      <c r="D8" s="115">
        <f>C8*(1/(1+'Inputs &amp; Outputs'!$C$46)^(B8-'Inputs &amp; Outputs'!$C$41))</f>
        <v>2322800.384183201</v>
      </c>
      <c r="E8" s="172">
        <f>IF(B8=0,0,E7*(1+'Inputs &amp; Outputs'!$C$44))</f>
        <v>18141.735848566972</v>
      </c>
      <c r="F8" s="172">
        <f>IF(B8=0,0,F7*(1+'Inputs &amp; Outputs'!$C$44))</f>
        <v>183513.90048293915</v>
      </c>
    </row>
    <row r="9" spans="1:6" ht="15" customHeight="1">
      <c r="A9" s="137">
        <v>7</v>
      </c>
      <c r="B9" s="128">
        <f>IF(B8&lt;('Inputs &amp; Outputs'!$C$41+'Inputs &amp; Outputs'!$C$42-1),IF(B8&gt;0,B8+1,0),0)</f>
        <v>2011</v>
      </c>
      <c r="C9" s="113">
        <f>IF(B9=0,0,C8*(1+'Inputs &amp; Outputs'!$C$45))</f>
        <v>3370243.4445190574</v>
      </c>
      <c r="D9" s="115">
        <f>C9*(1/(1+'Inputs &amp; Outputs'!$C$46)^(B9-'Inputs &amp; Outputs'!$C$41))</f>
        <v>2245735.511623852</v>
      </c>
      <c r="E9" s="172">
        <f>IF(B9=0,0,E8*(1+'Inputs &amp; Outputs'!$C$44))</f>
        <v>18223.37365988552</v>
      </c>
      <c r="F9" s="172">
        <f>IF(B9=0,0,F8*(1+'Inputs &amp; Outputs'!$C$44))</f>
        <v>184339.71303511236</v>
      </c>
    </row>
    <row r="10" spans="1:6" ht="15" customHeight="1">
      <c r="A10" s="137">
        <v>8</v>
      </c>
      <c r="B10" s="128">
        <f>IF(B9&lt;('Inputs &amp; Outputs'!$C$41+'Inputs &amp; Outputs'!$C$42-1),IF(B9&gt;0,B9+1,0),0)</f>
        <v>2012</v>
      </c>
      <c r="C10" s="113">
        <f>IF(B10=0,0,C9*(1+'Inputs &amp; Outputs'!$C$45))</f>
        <v>3486516.8433549646</v>
      </c>
      <c r="D10" s="115">
        <f>C10*(1/(1+'Inputs &amp; Outputs'!$C$46)^(B10-'Inputs &amp; Outputs'!$C$41))</f>
        <v>2171227.4642755836</v>
      </c>
      <c r="E10" s="172">
        <f>IF(B10=0,0,E9*(1+'Inputs &amp; Outputs'!$C$44))</f>
        <v>18305.378841355006</v>
      </c>
      <c r="F10" s="172">
        <f>IF(B10=0,0,F9*(1+'Inputs &amp; Outputs'!$C$44))</f>
        <v>185169.24174377037</v>
      </c>
    </row>
    <row r="11" spans="1:6" ht="15" customHeight="1">
      <c r="A11" s="137">
        <v>9</v>
      </c>
      <c r="B11" s="128">
        <f>IF(B10&lt;('Inputs &amp; Outputs'!$C$41+'Inputs &amp; Outputs'!$C$42-1),IF(B10&gt;0,B10+1,0),0)</f>
        <v>2013</v>
      </c>
      <c r="C11" s="113">
        <f>IF(B11=0,0,C10*(1+'Inputs &amp; Outputs'!$C$45))</f>
        <v>3606801.674450711</v>
      </c>
      <c r="D11" s="115">
        <f>C11*(1/(1+'Inputs &amp; Outputs'!$C$46)^(B11-'Inputs &amp; Outputs'!$C$41))</f>
        <v>2099191.4128907393</v>
      </c>
      <c r="E11" s="172">
        <f>IF(B11=0,0,E10*(1+'Inputs &amp; Outputs'!$C$44))</f>
        <v>18387.753046141104</v>
      </c>
      <c r="F11" s="172">
        <f>IF(B11=0,0,F10*(1+'Inputs &amp; Outputs'!$C$44))</f>
        <v>186002.50333161734</v>
      </c>
    </row>
    <row r="12" spans="1:6" ht="15" customHeight="1">
      <c r="A12" s="137">
        <v>10</v>
      </c>
      <c r="B12" s="128">
        <f>IF(B11&lt;('Inputs &amp; Outputs'!$C$41+'Inputs &amp; Outputs'!$C$42-1),IF(B11&gt;0,B11+1,0),0)</f>
        <v>2014</v>
      </c>
      <c r="C12" s="113">
        <f>IF(B12=0,0,C11*(1+'Inputs &amp; Outputs'!$C$45))</f>
        <v>3731236.3322192603</v>
      </c>
      <c r="D12" s="115">
        <f>C12*(1/(1+'Inputs &amp; Outputs'!$C$46)^(B12-'Inputs &amp; Outputs'!$C$41))</f>
        <v>2029545.3426499718</v>
      </c>
      <c r="E12" s="172">
        <f>IF(B12=0,0,E11*(1+'Inputs &amp; Outputs'!$C$44))</f>
        <v>18470.49793484874</v>
      </c>
      <c r="F12" s="172">
        <f>IF(B12=0,0,F11*(1+'Inputs &amp; Outputs'!$C$44))</f>
        <v>186839.5145966096</v>
      </c>
    </row>
    <row r="13" spans="1:6" ht="15" customHeight="1">
      <c r="A13" s="137">
        <v>11</v>
      </c>
      <c r="B13" s="128">
        <f>IF(B12&lt;('Inputs &amp; Outputs'!$C$41+'Inputs &amp; Outputs'!$C$42-1),IF(B12&gt;0,B12+1,0),0)</f>
        <v>2015</v>
      </c>
      <c r="C13" s="113">
        <f>IF(B13=0,0,C12*(1+'Inputs &amp; Outputs'!$C$45))</f>
        <v>3859963.9856808246</v>
      </c>
      <c r="D13" s="115">
        <f>C13*(1/(1+'Inputs &amp; Outputs'!$C$46)^(B13-'Inputs &amp; Outputs'!$C$41))</f>
        <v>1962209.959786351</v>
      </c>
      <c r="E13" s="172">
        <f>IF(B13=0,0,E12*(1+'Inputs &amp; Outputs'!$C$44))</f>
        <v>18553.61517555556</v>
      </c>
      <c r="F13" s="172">
        <f>IF(B13=0,0,F12*(1+'Inputs &amp; Outputs'!$C$44))</f>
        <v>187680.29241229434</v>
      </c>
    </row>
    <row r="14" spans="1:6" ht="15" customHeight="1">
      <c r="A14" s="137">
        <v>12</v>
      </c>
      <c r="B14" s="128">
        <f>IF(B13&lt;('Inputs &amp; Outputs'!$C$41+'Inputs &amp; Outputs'!$C$42-1),IF(B13&gt;0,B13+1,0),0)</f>
        <v>2016</v>
      </c>
      <c r="C14" s="113">
        <f>IF(B14=0,0,C13*(1+'Inputs &amp; Outputs'!$C$45))</f>
        <v>3993132.743186813</v>
      </c>
      <c r="D14" s="115">
        <f>C14*(1/(1+'Inputs &amp; Outputs'!$C$46)^(B14-'Inputs &amp; Outputs'!$C$41))</f>
        <v>1897108.6013074578</v>
      </c>
      <c r="E14" s="172">
        <f>IF(B14=0,0,E13*(1+'Inputs &amp; Outputs'!$C$44))</f>
        <v>18637.106443845558</v>
      </c>
      <c r="F14" s="172">
        <f>IF(B14=0,0,F13*(1+'Inputs &amp; Outputs'!$C$44))</f>
        <v>188524.85372814964</v>
      </c>
    </row>
    <row r="15" spans="1:6" ht="15" customHeight="1">
      <c r="A15" s="137">
        <v>13</v>
      </c>
      <c r="B15" s="128">
        <f>IF(B14&lt;('Inputs &amp; Outputs'!$C$41+'Inputs &amp; Outputs'!$C$42-1),IF(B14&gt;0,B14+1,0),0)</f>
        <v>2017</v>
      </c>
      <c r="C15" s="113">
        <f>IF(B15=0,0,C14*(1+'Inputs &amp; Outputs'!$C$45))</f>
        <v>4130895.8228267576</v>
      </c>
      <c r="D15" s="115">
        <f>C15*(1/(1+'Inputs &amp; Outputs'!$C$46)^(B15-'Inputs &amp; Outputs'!$C$41))</f>
        <v>1834167.147712678</v>
      </c>
      <c r="E15" s="172">
        <f>IF(B15=0,0,E14*(1+'Inputs &amp; Outputs'!$C$44))</f>
        <v>18720.97342284286</v>
      </c>
      <c r="F15" s="172">
        <f>IF(B15=0,0,F14*(1+'Inputs &amp; Outputs'!$C$44))</f>
        <v>189373.2155699263</v>
      </c>
    </row>
    <row r="16" spans="1:6" ht="15" customHeight="1">
      <c r="A16" s="137">
        <v>14</v>
      </c>
      <c r="B16" s="128">
        <f>IF(B15&lt;('Inputs &amp; Outputs'!$C$41+'Inputs &amp; Outputs'!$C$42-1),IF(B15&gt;0,B15+1,0),0)</f>
        <v>2018</v>
      </c>
      <c r="C16" s="113">
        <f>IF(B16=0,0,C15*(1+'Inputs &amp; Outputs'!$C$45))</f>
        <v>4273411.728714281</v>
      </c>
      <c r="D16" s="115">
        <f>C16*(1/(1+'Inputs &amp; Outputs'!$C$46)^(B16-'Inputs &amp; Outputs'!$C$41))</f>
        <v>1773313.9386063225</v>
      </c>
      <c r="E16" s="172">
        <f>IF(B16=0,0,E15*(1+'Inputs &amp; Outputs'!$C$44))</f>
        <v>18805.217803245654</v>
      </c>
      <c r="F16" s="172">
        <f>IF(B16=0,0,F15*(1+'Inputs &amp; Outputs'!$C$44))</f>
        <v>190225.39503999098</v>
      </c>
    </row>
    <row r="17" spans="1:6" ht="15" customHeight="1">
      <c r="A17" s="137">
        <v>15</v>
      </c>
      <c r="B17" s="128">
        <f>IF(B16&lt;('Inputs &amp; Outputs'!$C$41+'Inputs &amp; Outputs'!$C$42-1),IF(B16&gt;0,B16+1,0),0)</f>
        <v>2019</v>
      </c>
      <c r="C17" s="113">
        <f>IF(B17=0,0,C16*(1+'Inputs &amp; Outputs'!$C$45))</f>
        <v>4420844.4333549235</v>
      </c>
      <c r="D17" s="115">
        <f>C17*(1/(1+'Inputs &amp; Outputs'!$C$46)^(B17-'Inputs &amp; Outputs'!$C$41))</f>
        <v>1714479.6911105055</v>
      </c>
      <c r="E17" s="172">
        <f>IF(B17=0,0,E16*(1+'Inputs &amp; Outputs'!$C$44))</f>
        <v>18889.84128336026</v>
      </c>
      <c r="F17" s="172">
        <f>IF(B17=0,0,F16*(1+'Inputs &amp; Outputs'!$C$44))</f>
        <v>191081.40931767094</v>
      </c>
    </row>
    <row r="18" spans="1:6" ht="15" customHeight="1">
      <c r="A18" s="137">
        <v>16</v>
      </c>
      <c r="B18" s="128">
        <f>IF(B17&lt;('Inputs &amp; Outputs'!$C$41+'Inputs &amp; Outputs'!$C$42-1),IF(B17&gt;0,B17+1,0),0)</f>
        <v>2020</v>
      </c>
      <c r="C18" s="113">
        <f>IF(B18=0,0,C17*(1+'Inputs &amp; Outputs'!$C$45))</f>
        <v>4573363.566305668</v>
      </c>
      <c r="D18" s="115">
        <f>C18*(1/(1+'Inputs &amp; Outputs'!$C$46)^(B18-'Inputs &amp; Outputs'!$C$41))</f>
        <v>1657597.4209848763</v>
      </c>
      <c r="E18" s="172">
        <f>IF(B18=0,0,E17*(1+'Inputs &amp; Outputs'!$C$44))</f>
        <v>18974.84556913538</v>
      </c>
      <c r="F18" s="172">
        <f>IF(B18=0,0,F17*(1+'Inputs &amp; Outputs'!$C$44))</f>
        <v>191941.27565960045</v>
      </c>
    </row>
    <row r="19" spans="1:6" ht="15" customHeight="1">
      <c r="A19" s="137">
        <v>17</v>
      </c>
      <c r="B19" s="128">
        <f>IF(B18&lt;('Inputs &amp; Outputs'!$C$41+'Inputs &amp; Outputs'!$C$42-1),IF(B18&gt;0,B18+1,0),0)</f>
        <v>2021</v>
      </c>
      <c r="C19" s="113">
        <f>IF(B19=0,0,C18*(1+'Inputs &amp; Outputs'!$C$45))</f>
        <v>4731144.609343214</v>
      </c>
      <c r="D19" s="115">
        <f>C19*(1/(1+'Inputs &amp; Outputs'!$C$46)^(B19-'Inputs &amp; Outputs'!$C$41))</f>
        <v>1602602.3663634157</v>
      </c>
      <c r="E19" s="172">
        <f>IF(B19=0,0,E18*(1+'Inputs &amp; Outputs'!$C$44))</f>
        <v>19060.23237419649</v>
      </c>
      <c r="F19" s="172">
        <f>IF(B19=0,0,F18*(1+'Inputs &amp; Outputs'!$C$44))</f>
        <v>192805.01140006864</v>
      </c>
    </row>
    <row r="20" spans="1:6" ht="15" customHeight="1">
      <c r="A20" s="137">
        <v>18</v>
      </c>
      <c r="B20" s="128">
        <f>IF(B19&lt;('Inputs &amp; Outputs'!$C$41+'Inputs &amp; Outputs'!$C$42-1),IF(B19&gt;0,B19+1,0),0)</f>
        <v>2022</v>
      </c>
      <c r="C20" s="113">
        <f>IF(B20=0,0,C19*(1+'Inputs &amp; Outputs'!$C$45))</f>
        <v>4894369.098365555</v>
      </c>
      <c r="D20" s="115">
        <f>C20*(1/(1+'Inputs &amp; Outputs'!$C$46)^(B20-'Inputs &amp; Outputs'!$C$41))</f>
        <v>1549431.914021452</v>
      </c>
      <c r="E20" s="172">
        <f>IF(B20=0,0,E19*(1+'Inputs &amp; Outputs'!$C$44))</f>
        <v>19146.003419880373</v>
      </c>
      <c r="F20" s="172">
        <f>IF(B20=0,0,F19*(1+'Inputs &amp; Outputs'!$C$44))</f>
        <v>193672.63395136895</v>
      </c>
    </row>
    <row r="21" spans="1:6" ht="15" customHeight="1">
      <c r="A21" s="137">
        <v>19</v>
      </c>
      <c r="B21" s="128">
        <f>IF(B20&lt;('Inputs &amp; Outputs'!$C$41+'Inputs &amp; Outputs'!$C$42-1),IF(B20&gt;0,B20+1,0),0)</f>
        <v>2023</v>
      </c>
      <c r="C21" s="113">
        <f>IF(B21=0,0,C20*(1+'Inputs &amp; Outputs'!$C$45))</f>
        <v>5063224.832259166</v>
      </c>
      <c r="D21" s="115">
        <f>C21*(1/(1+'Inputs &amp; Outputs'!$C$46)^(B21-'Inputs &amp; Outputs'!$C$41))</f>
        <v>1498025.5280889643</v>
      </c>
      <c r="E21" s="172">
        <f>IF(B21=0,0,E20*(1+'Inputs &amp; Outputs'!$C$44))</f>
        <v>19232.160435269834</v>
      </c>
      <c r="F21" s="172">
        <f>IF(B21=0,0,F20*(1+'Inputs &amp; Outputs'!$C$44))</f>
        <v>194544.1608041501</v>
      </c>
    </row>
    <row r="22" spans="1:6" ht="15" customHeight="1">
      <c r="A22" s="137">
        <v>20</v>
      </c>
      <c r="B22" s="128">
        <f>IF(B21&lt;('Inputs &amp; Outputs'!$C$41+'Inputs &amp; Outputs'!$C$42-1),IF(B21&gt;0,B21+1,0),0)</f>
        <v>2024</v>
      </c>
      <c r="C22" s="113">
        <f>IF(B22=0,0,C21*(1+'Inputs &amp; Outputs'!$C$45))</f>
        <v>5237906.0889721075</v>
      </c>
      <c r="D22" s="115">
        <f>C22*(1/(1+'Inputs &amp; Outputs'!$C$46)^(B22-'Inputs &amp; Outputs'!$C$41))</f>
        <v>1448324.6811290034</v>
      </c>
      <c r="E22" s="172">
        <f>IF(B22=0,0,E21*(1+'Inputs &amp; Outputs'!$C$44))</f>
        <v>19318.70515722855</v>
      </c>
      <c r="F22" s="172">
        <f>IF(B22=0,0,F21*(1+'Inputs &amp; Outputs'!$C$44))</f>
        <v>195419.60952776877</v>
      </c>
    </row>
    <row r="23" spans="1:6" ht="15" customHeight="1">
      <c r="A23" s="137"/>
      <c r="B23" s="128">
        <f>IF(B22&lt;('Inputs &amp; Outputs'!$C$41+'Inputs &amp; Outputs'!$C$42-1),IF(B22&gt;0,B22+1,0),0)</f>
        <v>0</v>
      </c>
      <c r="C23" s="113">
        <f>IF(B23=0,0,C22*(1+'Inputs &amp; Outputs'!$C$45))</f>
        <v>0</v>
      </c>
      <c r="D23" s="115">
        <f>C23*(1/(1+'Inputs &amp; Outputs'!$C$46)^(B23-'Inputs &amp; Outputs'!$C$41))</f>
        <v>0</v>
      </c>
      <c r="E23" s="172">
        <f>IF(B23=0,0,E22*(1+'Inputs &amp; Outputs'!$C$44))</f>
        <v>0</v>
      </c>
      <c r="F23" s="172">
        <f>IF(B23=0,0,F22*(1+'Inputs &amp; Outputs'!$C$44))</f>
        <v>0</v>
      </c>
    </row>
    <row r="24" spans="1:6" ht="15" customHeight="1">
      <c r="A24" s="137"/>
      <c r="B24" s="128">
        <f>IF(B23&lt;('Inputs &amp; Outputs'!$C$41+'Inputs &amp; Outputs'!$C$42-1),IF(B23&gt;0,B23+1,0),0)</f>
        <v>0</v>
      </c>
      <c r="C24" s="113">
        <f>IF(B24=0,0,C23*(1+'Inputs &amp; Outputs'!$C$45))</f>
        <v>0</v>
      </c>
      <c r="D24" s="115">
        <f>C24*(1/(1+'Inputs &amp; Outputs'!$C$46)^(B24-'Inputs &amp; Outputs'!$C$41))</f>
        <v>0</v>
      </c>
      <c r="E24" s="172">
        <f>IF(B24=0,0,E23*(1+'Inputs &amp; Outputs'!$C$44))</f>
        <v>0</v>
      </c>
      <c r="F24" s="172">
        <f>IF(B24=0,0,F23*(1+'Inputs &amp; Outputs'!$C$44))</f>
        <v>0</v>
      </c>
    </row>
    <row r="25" spans="1:6" ht="15" customHeight="1">
      <c r="A25" s="137"/>
      <c r="B25" s="128">
        <f>IF(B24&lt;('Inputs &amp; Outputs'!$C$41+'Inputs &amp; Outputs'!$C$42-1),IF(B24&gt;0,B24+1,0),0)</f>
        <v>0</v>
      </c>
      <c r="C25" s="113">
        <f>IF(B25=0,0,C24*(1+'Inputs &amp; Outputs'!$C$45))</f>
        <v>0</v>
      </c>
      <c r="D25" s="115">
        <f>C25*(1/(1+'Inputs &amp; Outputs'!$C$46)^(B25-'Inputs &amp; Outputs'!$C$41))</f>
        <v>0</v>
      </c>
      <c r="E25" s="172">
        <f>IF(B25=0,0,E24*(1+'Inputs &amp; Outputs'!$C$44))</f>
        <v>0</v>
      </c>
      <c r="F25" s="172">
        <f>IF(B25=0,0,F24*(1+'Inputs &amp; Outputs'!$C$44))</f>
        <v>0</v>
      </c>
    </row>
    <row r="26" spans="1:6" ht="15" customHeight="1">
      <c r="A26" s="137"/>
      <c r="B26" s="128">
        <f>IF(B25&lt;('Inputs &amp; Outputs'!$C$41+'Inputs &amp; Outputs'!$C$42-1),IF(B25&gt;0,B25+1,0),0)</f>
        <v>0</v>
      </c>
      <c r="C26" s="113">
        <f>IF(B26=0,0,C25*(1+'Inputs &amp; Outputs'!$C$45))</f>
        <v>0</v>
      </c>
      <c r="D26" s="115">
        <f>C26*(1/(1+'Inputs &amp; Outputs'!$C$46)^(B26-'Inputs &amp; Outputs'!$C$41))</f>
        <v>0</v>
      </c>
      <c r="E26" s="172">
        <f>IF(B26=0,0,E25*(1+'Inputs &amp; Outputs'!$C$44))</f>
        <v>0</v>
      </c>
      <c r="F26" s="172">
        <f>IF(B26=0,0,F25*(1+'Inputs &amp; Outputs'!$C$44))</f>
        <v>0</v>
      </c>
    </row>
    <row r="27" spans="1:6" ht="15" customHeight="1">
      <c r="A27" s="137"/>
      <c r="B27" s="128">
        <f>IF(B26&lt;('Inputs &amp; Outputs'!$C$41+'Inputs &amp; Outputs'!$C$42-1),IF(B26&gt;0,B26+1,0),0)</f>
        <v>0</v>
      </c>
      <c r="C27" s="113">
        <f>IF(B27=0,0,C26*(1+'Inputs &amp; Outputs'!$C$45))</f>
        <v>0</v>
      </c>
      <c r="D27" s="115">
        <f>C27*(1/(1+'Inputs &amp; Outputs'!$C$46)^(B27-'Inputs &amp; Outputs'!$C$41))</f>
        <v>0</v>
      </c>
      <c r="E27" s="172">
        <f>IF(B27=0,0,E26*(1+'Inputs &amp; Outputs'!$C$44))</f>
        <v>0</v>
      </c>
      <c r="F27" s="172">
        <f>IF(B27=0,0,F26*(1+'Inputs &amp; Outputs'!$C$44))</f>
        <v>0</v>
      </c>
    </row>
    <row r="28" spans="1:6" ht="15" customHeight="1">
      <c r="A28" s="137"/>
      <c r="B28" s="128">
        <f>IF(B27&lt;('Inputs &amp; Outputs'!$C$41+'Inputs &amp; Outputs'!$C$42-1),IF(B27&gt;0,B27+1,0),0)</f>
        <v>0</v>
      </c>
      <c r="C28" s="113">
        <f>IF(B28=0,0,C27*(1+'Inputs &amp; Outputs'!$C$45))</f>
        <v>0</v>
      </c>
      <c r="D28" s="115">
        <f>C28*(1/(1+'Inputs &amp; Outputs'!$C$46)^(B28-'Inputs &amp; Outputs'!$C$41))</f>
        <v>0</v>
      </c>
      <c r="E28" s="172">
        <f>IF(B28=0,0,E27*(1+'Inputs &amp; Outputs'!$C$44))</f>
        <v>0</v>
      </c>
      <c r="F28" s="172">
        <f>IF(B28=0,0,F27*(1+'Inputs &amp; Outputs'!$C$44))</f>
        <v>0</v>
      </c>
    </row>
    <row r="29" spans="1:6" ht="15" customHeight="1">
      <c r="A29" s="137"/>
      <c r="B29" s="128">
        <f>IF(B28&lt;('Inputs &amp; Outputs'!$C$41+'Inputs &amp; Outputs'!$C$42-1),IF(B28&gt;0,B28+1,0),0)</f>
        <v>0</v>
      </c>
      <c r="C29" s="113">
        <f>IF(B29=0,0,C28*(1+'Inputs &amp; Outputs'!$C$45))</f>
        <v>0</v>
      </c>
      <c r="D29" s="115">
        <f>C29*(1/(1+'Inputs &amp; Outputs'!$C$46)^(B29-'Inputs &amp; Outputs'!$C$41))</f>
        <v>0</v>
      </c>
      <c r="E29" s="172">
        <f>IF(B29=0,0,E28*(1+'Inputs &amp; Outputs'!$C$44))</f>
        <v>0</v>
      </c>
      <c r="F29" s="172">
        <f>IF(B29=0,0,F28*(1+'Inputs &amp; Outputs'!$C$44))</f>
        <v>0</v>
      </c>
    </row>
    <row r="30" spans="1:6" ht="15" customHeight="1">
      <c r="A30" s="137"/>
      <c r="B30" s="128">
        <f>IF(B29&lt;('Inputs &amp; Outputs'!$C$41+'Inputs &amp; Outputs'!$C$42-1),IF(B29&gt;0,B29+1,0),0)</f>
        <v>0</v>
      </c>
      <c r="C30" s="113">
        <f>IF(B30=0,0,C29*(1+'Inputs &amp; Outputs'!$C$45))</f>
        <v>0</v>
      </c>
      <c r="D30" s="115">
        <f>C30*(1/(1+'Inputs &amp; Outputs'!$C$46)^(B30-'Inputs &amp; Outputs'!$C$41))</f>
        <v>0</v>
      </c>
      <c r="E30" s="172">
        <f>IF(B30=0,0,E29*(1+'Inputs &amp; Outputs'!$C$44))</f>
        <v>0</v>
      </c>
      <c r="F30" s="172">
        <f>IF(B30=0,0,F29*(1+'Inputs &amp; Outputs'!$C$44))</f>
        <v>0</v>
      </c>
    </row>
    <row r="31" spans="1:6" ht="15" customHeight="1">
      <c r="A31" s="137"/>
      <c r="B31" s="128">
        <f>IF(B30&lt;('Inputs &amp; Outputs'!$C$41+'Inputs &amp; Outputs'!$C$42-1),IF(B30&gt;0,B30+1,0),0)</f>
        <v>0</v>
      </c>
      <c r="C31" s="113">
        <f>IF(B31=0,0,C30*(1+'Inputs &amp; Outputs'!$C$45))</f>
        <v>0</v>
      </c>
      <c r="D31" s="115">
        <f>C31*(1/(1+'Inputs &amp; Outputs'!$C$46)^(B31-'Inputs &amp; Outputs'!$C$41))</f>
        <v>0</v>
      </c>
      <c r="E31" s="172">
        <f>IF(B31=0,0,E30*(1+'Inputs &amp; Outputs'!$C$44))</f>
        <v>0</v>
      </c>
      <c r="F31" s="172">
        <f>IF(B31=0,0,F30*(1+'Inputs &amp; Outputs'!$C$44))</f>
        <v>0</v>
      </c>
    </row>
    <row r="32" spans="1:6" ht="15" customHeight="1">
      <c r="A32" s="137"/>
      <c r="B32" s="128">
        <f>IF(B31&lt;('Inputs &amp; Outputs'!$C$41+'Inputs &amp; Outputs'!$C$42-1),IF(B31&gt;0,B31+1,0),0)</f>
        <v>0</v>
      </c>
      <c r="C32" s="113">
        <f>IF(B32=0,0,C31*(1+'Inputs &amp; Outputs'!$C$45))</f>
        <v>0</v>
      </c>
      <c r="D32" s="115">
        <f>C32*(1/(1+'Inputs &amp; Outputs'!$C$46)^(B32-'Inputs &amp; Outputs'!$C$41))</f>
        <v>0</v>
      </c>
      <c r="E32" s="172">
        <f>IF(B32=0,0,E31*(1+'Inputs &amp; Outputs'!$C$44))</f>
        <v>0</v>
      </c>
      <c r="F32" s="172">
        <f>IF(B32=0,0,F31*(1+'Inputs &amp; Outputs'!$C$44))</f>
        <v>0</v>
      </c>
    </row>
    <row r="33" spans="1:6" ht="15" customHeight="1">
      <c r="A33" s="137"/>
      <c r="B33" s="129">
        <f>IF(B32&lt;('Inputs &amp; Outputs'!$C$41+'Inputs &amp; Outputs'!$C$42-1),IF(B32&gt;0,B32+1,0),0)</f>
        <v>0</v>
      </c>
      <c r="C33" s="114">
        <f>IF(B33=0,0,C32*(1+'Inputs &amp; Outputs'!$C$45))</f>
        <v>0</v>
      </c>
      <c r="D33" s="116">
        <f>C33*(1/(1+'Inputs &amp; Outputs'!$C$46)^(B33-'Inputs &amp; Outputs'!$C$41))</f>
        <v>0</v>
      </c>
      <c r="E33" s="172">
        <f>IF(B33=0,0,E32*(1+'Inputs &amp; Outputs'!$C$44))</f>
        <v>0</v>
      </c>
      <c r="F33" s="172">
        <f>IF(B33=0,0,F32*(1+'Inputs &amp; Outputs'!$C$44))</f>
        <v>0</v>
      </c>
    </row>
    <row r="34" spans="1:6" s="147" customFormat="1" ht="16.5" customHeight="1">
      <c r="A34" s="143"/>
      <c r="B34" s="144"/>
      <c r="C34" s="145" t="s">
        <v>79</v>
      </c>
      <c r="D34" s="146">
        <f>SUM(D3:D33)</f>
        <v>40671538.60643884</v>
      </c>
      <c r="E34" s="173">
        <f>SUM(E3:E33)</f>
        <v>370364.29565246374</v>
      </c>
      <c r="F34" s="173">
        <f>SUM(F3:F33)</f>
        <v>3746443.949031969</v>
      </c>
    </row>
    <row r="35" spans="1:5" ht="12" customHeight="1">
      <c r="A35" s="139"/>
      <c r="B35" s="12"/>
      <c r="C35" s="12"/>
      <c r="D35" s="12"/>
      <c r="E35" s="108"/>
    </row>
    <row r="36" spans="1:4" ht="27.75" customHeight="1">
      <c r="A36" s="104" t="s">
        <v>7</v>
      </c>
      <c r="B36" s="105" t="s">
        <v>12</v>
      </c>
      <c r="C36" s="106" t="s">
        <v>8</v>
      </c>
      <c r="D36" s="132"/>
    </row>
    <row r="37" spans="1:4" ht="15" customHeight="1">
      <c r="A37" s="140"/>
      <c r="B37" s="102"/>
      <c r="C37" s="102"/>
      <c r="D37" s="107"/>
    </row>
    <row r="38" spans="1:9" ht="28.5" customHeight="1">
      <c r="A38" s="140"/>
      <c r="B38" s="130" t="s">
        <v>9</v>
      </c>
      <c r="C38" s="108" t="s">
        <v>13</v>
      </c>
      <c r="D38" s="142" t="s">
        <v>160</v>
      </c>
      <c r="E38" s="264"/>
      <c r="F38" s="13"/>
      <c r="G38" s="119"/>
      <c r="H38" s="119"/>
      <c r="I38" s="119"/>
    </row>
    <row r="39" spans="1:8" ht="12.75">
      <c r="A39" s="140"/>
      <c r="B39" s="109"/>
      <c r="C39" s="109"/>
      <c r="D39" s="110"/>
      <c r="E39" s="264"/>
      <c r="F39" s="13"/>
      <c r="H39" s="13"/>
    </row>
    <row r="40" spans="1:4" ht="12.75">
      <c r="A40" s="140"/>
      <c r="B40" s="109" t="s">
        <v>76</v>
      </c>
      <c r="C40" s="109"/>
      <c r="D40" s="110"/>
    </row>
    <row r="41" spans="1:4" ht="12.75">
      <c r="A41" s="140"/>
      <c r="B41" s="131" t="s">
        <v>134</v>
      </c>
      <c r="C41" s="102" t="s">
        <v>77</v>
      </c>
      <c r="D41" s="107"/>
    </row>
    <row r="42" spans="1:4" ht="12.75">
      <c r="A42" s="140"/>
      <c r="B42" s="131" t="s">
        <v>158</v>
      </c>
      <c r="C42" s="118">
        <f>'Inputs &amp; Outputs'!C45</f>
        <v>0.034499999999999996</v>
      </c>
      <c r="D42" s="107"/>
    </row>
    <row r="43" spans="1:4" ht="12.75">
      <c r="A43" s="140"/>
      <c r="B43" s="131" t="s">
        <v>159</v>
      </c>
      <c r="C43" s="103">
        <f>'Inputs &amp; Outputs'!C46</f>
        <v>0.07</v>
      </c>
      <c r="D43" s="107"/>
    </row>
    <row r="44" spans="1:4" ht="12.75">
      <c r="A44" s="141"/>
      <c r="B44" s="111"/>
      <c r="C44" s="111"/>
      <c r="D44" s="112"/>
    </row>
  </sheetData>
  <printOptions horizontalCentered="1"/>
  <pageMargins left="0.75" right="0.75" top="0.75" bottom="0.7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5">
      <selection activeCell="N41" sqref="N41"/>
    </sheetView>
  </sheetViews>
  <sheetFormatPr defaultColWidth="9.140625" defaultRowHeight="12.75"/>
  <cols>
    <col min="1" max="1" width="9.28125" style="57" customWidth="1"/>
    <col min="2" max="2" width="8.7109375" style="53" customWidth="1"/>
    <col min="3" max="3" width="14.28125" style="57" customWidth="1"/>
    <col min="4" max="4" width="7.7109375" style="58" customWidth="1"/>
    <col min="5" max="5" width="7.28125" style="7" customWidth="1"/>
    <col min="6" max="6" width="6.28125" style="7" customWidth="1"/>
    <col min="7" max="8" width="5.421875" style="7" customWidth="1"/>
    <col min="9" max="9" width="5.28125" style="7" customWidth="1"/>
    <col min="10" max="10" width="11.7109375" style="59" customWidth="1"/>
    <col min="11" max="11" width="11.421875" style="7" bestFit="1" customWidth="1"/>
    <col min="12" max="16384" width="8.8515625" style="7" customWidth="1"/>
  </cols>
  <sheetData>
    <row r="1" spans="1:10" ht="25.5" customHeight="1" thickBot="1">
      <c r="A1" s="123" t="s">
        <v>11</v>
      </c>
      <c r="B1" s="124"/>
      <c r="C1" s="125"/>
      <c r="D1" s="124"/>
      <c r="E1" s="124"/>
      <c r="F1" s="124"/>
      <c r="G1" s="124"/>
      <c r="H1" s="124"/>
      <c r="I1" s="124"/>
      <c r="J1" s="126"/>
    </row>
    <row r="2" spans="1:10" s="38" customFormat="1" ht="12.75" customHeight="1" thickTop="1">
      <c r="A2" s="88"/>
      <c r="B2" s="55"/>
      <c r="C2" s="54"/>
      <c r="D2" s="169" t="s">
        <v>61</v>
      </c>
      <c r="E2" s="299" t="s">
        <v>78</v>
      </c>
      <c r="F2" s="299"/>
      <c r="G2" s="299"/>
      <c r="H2" s="299"/>
      <c r="I2" s="299"/>
      <c r="J2" s="101" t="s">
        <v>58</v>
      </c>
    </row>
    <row r="3" spans="1:10" s="38" customFormat="1" ht="12.75" customHeight="1">
      <c r="A3" s="88" t="s">
        <v>59</v>
      </c>
      <c r="B3" s="55" t="s">
        <v>63</v>
      </c>
      <c r="C3" s="54"/>
      <c r="D3" s="170" t="s">
        <v>62</v>
      </c>
      <c r="E3" s="93" t="s">
        <v>51</v>
      </c>
      <c r="F3" s="56" t="s">
        <v>52</v>
      </c>
      <c r="G3" s="56" t="s">
        <v>53</v>
      </c>
      <c r="H3" s="56" t="s">
        <v>54</v>
      </c>
      <c r="I3" s="97" t="s">
        <v>55</v>
      </c>
      <c r="J3" s="99" t="s">
        <v>60</v>
      </c>
    </row>
    <row r="4" spans="1:10" ht="13.5" thickBot="1">
      <c r="A4" s="89" t="s">
        <v>58</v>
      </c>
      <c r="B4" s="90" t="s">
        <v>64</v>
      </c>
      <c r="C4" s="91" t="s">
        <v>48</v>
      </c>
      <c r="D4" s="171" t="s">
        <v>57</v>
      </c>
      <c r="E4" s="94">
        <f>'Inputs &amp; Outputs'!H28</f>
        <v>3681323</v>
      </c>
      <c r="F4" s="92">
        <f>'Inputs &amp; Outputs'!H29</f>
        <v>182474.8</v>
      </c>
      <c r="G4" s="92">
        <f>'Inputs &amp; Outputs'!H30</f>
        <v>46891.78</v>
      </c>
      <c r="H4" s="92">
        <f>'Inputs &amp; Outputs'!H31</f>
        <v>22278.899999999998</v>
      </c>
      <c r="I4" s="98">
        <f>'Inputs &amp; Outputs'!H32</f>
        <v>2121.7999999999997</v>
      </c>
      <c r="J4" s="100" t="s">
        <v>56</v>
      </c>
    </row>
    <row r="6" spans="1:10" ht="12.75" customHeight="1">
      <c r="A6" s="40">
        <v>37167</v>
      </c>
      <c r="B6" s="8" t="s">
        <v>14</v>
      </c>
      <c r="C6" s="60" t="s">
        <v>49</v>
      </c>
      <c r="D6" s="61">
        <v>1</v>
      </c>
      <c r="E6" s="49"/>
      <c r="F6" s="62"/>
      <c r="G6" s="62">
        <v>1</v>
      </c>
      <c r="H6" s="62"/>
      <c r="I6" s="164"/>
      <c r="J6" s="161">
        <f aca="true" t="shared" si="0" ref="J6:J11">D6*(E6*$E$4+F6*$F$4+G6*$G$4+H6*$H$4+I6*$I$4)</f>
        <v>46891.78</v>
      </c>
    </row>
    <row r="7" spans="1:10" ht="12.75" customHeight="1">
      <c r="A7" s="41">
        <v>37173</v>
      </c>
      <c r="B7" s="9" t="s">
        <v>14</v>
      </c>
      <c r="C7" s="45" t="s">
        <v>49</v>
      </c>
      <c r="D7" s="42">
        <v>1</v>
      </c>
      <c r="E7" s="43"/>
      <c r="F7" s="44"/>
      <c r="G7" s="44"/>
      <c r="H7" s="44"/>
      <c r="I7" s="165">
        <v>1</v>
      </c>
      <c r="J7" s="162">
        <f t="shared" si="0"/>
        <v>2121.7999999999997</v>
      </c>
    </row>
    <row r="8" spans="1:10" ht="12.75" customHeight="1">
      <c r="A8" s="41">
        <v>37427</v>
      </c>
      <c r="B8" s="9" t="s">
        <v>14</v>
      </c>
      <c r="C8" s="45" t="s">
        <v>3</v>
      </c>
      <c r="D8" s="42">
        <v>0.5</v>
      </c>
      <c r="E8" s="43"/>
      <c r="F8" s="44"/>
      <c r="G8" s="44"/>
      <c r="H8" s="44"/>
      <c r="I8" s="165">
        <v>1</v>
      </c>
      <c r="J8" s="162">
        <f t="shared" si="0"/>
        <v>1060.8999999999999</v>
      </c>
    </row>
    <row r="9" spans="1:10" ht="12.75" customHeight="1">
      <c r="A9" s="41">
        <v>37651</v>
      </c>
      <c r="B9" s="9" t="s">
        <v>14</v>
      </c>
      <c r="C9" s="45" t="s">
        <v>4</v>
      </c>
      <c r="D9" s="42">
        <v>0.5</v>
      </c>
      <c r="E9" s="43"/>
      <c r="F9" s="44"/>
      <c r="G9" s="44"/>
      <c r="H9" s="44">
        <v>1</v>
      </c>
      <c r="I9" s="165"/>
      <c r="J9" s="162">
        <f t="shared" si="0"/>
        <v>11139.449999999999</v>
      </c>
    </row>
    <row r="10" spans="1:10" ht="12.75" customHeight="1">
      <c r="A10" s="41">
        <v>37685</v>
      </c>
      <c r="B10" s="9" t="s">
        <v>14</v>
      </c>
      <c r="C10" s="45" t="s">
        <v>4</v>
      </c>
      <c r="D10" s="42">
        <v>0.5</v>
      </c>
      <c r="E10" s="43"/>
      <c r="F10" s="44"/>
      <c r="G10" s="44">
        <v>1</v>
      </c>
      <c r="H10" s="44"/>
      <c r="I10" s="165"/>
      <c r="J10" s="162">
        <f t="shared" si="0"/>
        <v>23445.89</v>
      </c>
    </row>
    <row r="11" spans="1:10" ht="12.75" customHeight="1">
      <c r="A11" s="63">
        <v>37777</v>
      </c>
      <c r="B11" s="10" t="s">
        <v>14</v>
      </c>
      <c r="C11" s="64" t="s">
        <v>4</v>
      </c>
      <c r="D11" s="65">
        <v>0.5</v>
      </c>
      <c r="E11" s="66"/>
      <c r="F11" s="67"/>
      <c r="G11" s="67"/>
      <c r="H11" s="67"/>
      <c r="I11" s="166">
        <v>1</v>
      </c>
      <c r="J11" s="163">
        <f t="shared" si="0"/>
        <v>1060.8999999999999</v>
      </c>
    </row>
    <row r="12" spans="1:10" s="48" customFormat="1" ht="12.75" customHeight="1">
      <c r="A12" s="47">
        <f>COUNT(A6:A11)</f>
        <v>6</v>
      </c>
      <c r="B12" s="46" t="s">
        <v>2</v>
      </c>
      <c r="C12" s="47"/>
      <c r="D12" s="11"/>
      <c r="E12" s="11">
        <f aca="true" t="shared" si="1" ref="E12:J12">SUM(E6:E11)</f>
        <v>0</v>
      </c>
      <c r="F12" s="11">
        <f t="shared" si="1"/>
        <v>0</v>
      </c>
      <c r="G12" s="11">
        <f t="shared" si="1"/>
        <v>2</v>
      </c>
      <c r="H12" s="11">
        <f t="shared" si="1"/>
        <v>1</v>
      </c>
      <c r="I12" s="11">
        <f t="shared" si="1"/>
        <v>3</v>
      </c>
      <c r="J12" s="51">
        <f t="shared" si="1"/>
        <v>85720.72</v>
      </c>
    </row>
    <row r="13" spans="1:10" ht="12.75" customHeight="1">
      <c r="A13" s="40">
        <v>36939</v>
      </c>
      <c r="B13" s="8" t="s">
        <v>15</v>
      </c>
      <c r="C13" s="60" t="s">
        <v>50</v>
      </c>
      <c r="D13" s="61">
        <v>1</v>
      </c>
      <c r="E13" s="49"/>
      <c r="F13" s="62"/>
      <c r="G13" s="62">
        <v>1</v>
      </c>
      <c r="H13" s="62"/>
      <c r="I13" s="164"/>
      <c r="J13" s="161">
        <f>D13*(E13*$E$4+F13*$F$4+G13*$G$4+H13*$H$4+I13*$I$4)</f>
        <v>46891.78</v>
      </c>
    </row>
    <row r="14" spans="1:10" ht="12.75" customHeight="1">
      <c r="A14" s="41">
        <v>37297</v>
      </c>
      <c r="B14" s="9" t="s">
        <v>15</v>
      </c>
      <c r="C14" s="45" t="s">
        <v>50</v>
      </c>
      <c r="D14" s="42">
        <v>1</v>
      </c>
      <c r="E14" s="43"/>
      <c r="F14" s="44"/>
      <c r="G14" s="44"/>
      <c r="H14" s="44"/>
      <c r="I14" s="165">
        <v>1</v>
      </c>
      <c r="J14" s="162">
        <f>D14*(E14*$E$4+F14*$F$4+G14*$G$4+H14*$H$4+I14*$I$4)</f>
        <v>2121.7999999999997</v>
      </c>
    </row>
    <row r="15" spans="1:10" ht="12.75" customHeight="1">
      <c r="A15" s="41">
        <v>37349</v>
      </c>
      <c r="B15" s="9" t="s">
        <v>15</v>
      </c>
      <c r="C15" s="45" t="s">
        <v>49</v>
      </c>
      <c r="D15" s="42">
        <v>1</v>
      </c>
      <c r="E15" s="43"/>
      <c r="F15" s="44"/>
      <c r="G15" s="44"/>
      <c r="H15" s="44"/>
      <c r="I15" s="165">
        <v>1</v>
      </c>
      <c r="J15" s="162">
        <f>D15*(E15*$E$4+F15*$F$4+G15*$G$4+H15*$H$4+I15*$I$4)</f>
        <v>2121.7999999999997</v>
      </c>
    </row>
    <row r="16" spans="1:10" ht="12.75" customHeight="1">
      <c r="A16" s="41">
        <v>37426</v>
      </c>
      <c r="B16" s="9" t="s">
        <v>15</v>
      </c>
      <c r="C16" s="45" t="s">
        <v>4</v>
      </c>
      <c r="D16" s="42">
        <v>0.5</v>
      </c>
      <c r="E16" s="43"/>
      <c r="F16" s="44"/>
      <c r="G16" s="44"/>
      <c r="H16" s="44">
        <v>1</v>
      </c>
      <c r="I16" s="165"/>
      <c r="J16" s="162">
        <f>D16*(E16*$E$4+F16*$F$4+G16*$G$4+H16*$H$4+I16*$I$4)</f>
        <v>11139.449999999999</v>
      </c>
    </row>
    <row r="17" spans="1:10" ht="12.75" customHeight="1">
      <c r="A17" s="63">
        <v>37723</v>
      </c>
      <c r="B17" s="10" t="s">
        <v>15</v>
      </c>
      <c r="C17" s="64" t="s">
        <v>4</v>
      </c>
      <c r="D17" s="65">
        <v>0.5</v>
      </c>
      <c r="E17" s="66"/>
      <c r="F17" s="67"/>
      <c r="G17" s="67"/>
      <c r="H17" s="67">
        <v>1</v>
      </c>
      <c r="I17" s="166"/>
      <c r="J17" s="163">
        <f>D17*(E17*$E$4+F17*$F$4+G17*$G$4+H17*$H$4+I17*$I$4)</f>
        <v>11139.449999999999</v>
      </c>
    </row>
    <row r="18" spans="1:10" s="48" customFormat="1" ht="12.75" customHeight="1">
      <c r="A18" s="47">
        <f>COUNT(A13:A17)</f>
        <v>5</v>
      </c>
      <c r="B18" s="46" t="s">
        <v>2</v>
      </c>
      <c r="C18" s="47"/>
      <c r="D18" s="11"/>
      <c r="E18" s="11">
        <f aca="true" t="shared" si="2" ref="E18:J18">SUM(E13:E17)</f>
        <v>0</v>
      </c>
      <c r="F18" s="11">
        <f t="shared" si="2"/>
        <v>0</v>
      </c>
      <c r="G18" s="11">
        <f t="shared" si="2"/>
        <v>1</v>
      </c>
      <c r="H18" s="11">
        <f t="shared" si="2"/>
        <v>2</v>
      </c>
      <c r="I18" s="11">
        <f t="shared" si="2"/>
        <v>2</v>
      </c>
      <c r="J18" s="51">
        <f t="shared" si="2"/>
        <v>73414.28</v>
      </c>
    </row>
    <row r="19" spans="1:10" ht="12.75" customHeight="1">
      <c r="A19" s="40">
        <v>36750</v>
      </c>
      <c r="B19" s="8" t="s">
        <v>16</v>
      </c>
      <c r="C19" s="60" t="s">
        <v>49</v>
      </c>
      <c r="D19" s="61">
        <v>1</v>
      </c>
      <c r="E19" s="49"/>
      <c r="F19" s="62"/>
      <c r="G19" s="62"/>
      <c r="H19" s="62">
        <v>1</v>
      </c>
      <c r="I19" s="164"/>
      <c r="J19" s="161">
        <f aca="true" t="shared" si="3" ref="J19:J27">D19*(E19*$E$4+F19*$F$4+G19*$G$4+H19*$H$4+I19*$I$4)</f>
        <v>22278.899999999998</v>
      </c>
    </row>
    <row r="20" spans="1:10" ht="12.75" customHeight="1">
      <c r="A20" s="41">
        <v>36769</v>
      </c>
      <c r="B20" s="9" t="s">
        <v>16</v>
      </c>
      <c r="C20" s="45" t="s">
        <v>49</v>
      </c>
      <c r="D20" s="42">
        <v>1</v>
      </c>
      <c r="E20" s="43"/>
      <c r="F20" s="44"/>
      <c r="G20" s="44"/>
      <c r="H20" s="44">
        <v>1</v>
      </c>
      <c r="I20" s="165"/>
      <c r="J20" s="162">
        <f t="shared" si="3"/>
        <v>22278.899999999998</v>
      </c>
    </row>
    <row r="21" spans="1:10" ht="12.75" customHeight="1">
      <c r="A21" s="41">
        <v>36925</v>
      </c>
      <c r="B21" s="9" t="s">
        <v>16</v>
      </c>
      <c r="C21" s="45" t="s">
        <v>50</v>
      </c>
      <c r="D21" s="42">
        <v>1</v>
      </c>
      <c r="E21" s="43"/>
      <c r="F21" s="44"/>
      <c r="G21" s="44"/>
      <c r="H21" s="44"/>
      <c r="I21" s="165">
        <v>1</v>
      </c>
      <c r="J21" s="162">
        <f t="shared" si="3"/>
        <v>2121.7999999999997</v>
      </c>
    </row>
    <row r="22" spans="1:10" ht="12.75" customHeight="1">
      <c r="A22" s="41">
        <v>36990</v>
      </c>
      <c r="B22" s="9" t="s">
        <v>16</v>
      </c>
      <c r="C22" s="45" t="s">
        <v>49</v>
      </c>
      <c r="D22" s="42">
        <v>1</v>
      </c>
      <c r="E22" s="43"/>
      <c r="F22" s="44"/>
      <c r="G22" s="44"/>
      <c r="H22" s="44"/>
      <c r="I22" s="165">
        <v>1</v>
      </c>
      <c r="J22" s="162">
        <f t="shared" si="3"/>
        <v>2121.7999999999997</v>
      </c>
    </row>
    <row r="23" spans="1:10" ht="12.75" customHeight="1">
      <c r="A23" s="41">
        <v>37173</v>
      </c>
      <c r="B23" s="9" t="s">
        <v>16</v>
      </c>
      <c r="C23" s="45" t="s">
        <v>49</v>
      </c>
      <c r="D23" s="42">
        <v>1</v>
      </c>
      <c r="E23" s="43"/>
      <c r="F23" s="44"/>
      <c r="G23" s="44"/>
      <c r="H23" s="44"/>
      <c r="I23" s="165">
        <v>1</v>
      </c>
      <c r="J23" s="162">
        <f t="shared" si="3"/>
        <v>2121.7999999999997</v>
      </c>
    </row>
    <row r="24" spans="1:10" ht="12.75" customHeight="1">
      <c r="A24" s="41">
        <v>37697</v>
      </c>
      <c r="B24" s="9" t="s">
        <v>16</v>
      </c>
      <c r="C24" s="45" t="s">
        <v>4</v>
      </c>
      <c r="D24" s="42">
        <v>0.5</v>
      </c>
      <c r="E24" s="43"/>
      <c r="F24" s="44"/>
      <c r="G24" s="44"/>
      <c r="H24" s="44"/>
      <c r="I24" s="165">
        <v>1</v>
      </c>
      <c r="J24" s="162">
        <f t="shared" si="3"/>
        <v>1060.8999999999999</v>
      </c>
    </row>
    <row r="25" spans="1:10" ht="12.75" customHeight="1">
      <c r="A25" s="41">
        <v>37361</v>
      </c>
      <c r="B25" s="9" t="s">
        <v>16</v>
      </c>
      <c r="C25" s="45" t="s">
        <v>49</v>
      </c>
      <c r="D25" s="42">
        <v>1</v>
      </c>
      <c r="E25" s="43"/>
      <c r="F25" s="44"/>
      <c r="G25" s="44"/>
      <c r="H25" s="44"/>
      <c r="I25" s="165">
        <v>1</v>
      </c>
      <c r="J25" s="162">
        <f t="shared" si="3"/>
        <v>2121.7999999999997</v>
      </c>
    </row>
    <row r="26" spans="1:10" ht="12.75" customHeight="1">
      <c r="A26" s="41">
        <v>37373</v>
      </c>
      <c r="B26" s="9" t="s">
        <v>16</v>
      </c>
      <c r="C26" s="45" t="s">
        <v>5</v>
      </c>
      <c r="D26" s="42">
        <v>1</v>
      </c>
      <c r="E26" s="43"/>
      <c r="F26" s="44"/>
      <c r="G26" s="44"/>
      <c r="H26" s="44"/>
      <c r="I26" s="165">
        <v>1</v>
      </c>
      <c r="J26" s="162">
        <f t="shared" si="3"/>
        <v>2121.7999999999997</v>
      </c>
    </row>
    <row r="27" spans="1:10" ht="12.75" customHeight="1">
      <c r="A27" s="63">
        <v>37432</v>
      </c>
      <c r="B27" s="10" t="s">
        <v>16</v>
      </c>
      <c r="C27" s="64" t="s">
        <v>49</v>
      </c>
      <c r="D27" s="65">
        <v>1</v>
      </c>
      <c r="E27" s="66"/>
      <c r="F27" s="67"/>
      <c r="G27" s="67"/>
      <c r="H27" s="67"/>
      <c r="I27" s="166">
        <v>1</v>
      </c>
      <c r="J27" s="163">
        <f t="shared" si="3"/>
        <v>2121.7999999999997</v>
      </c>
    </row>
    <row r="28" spans="1:10" s="48" customFormat="1" ht="12.75" customHeight="1">
      <c r="A28" s="47">
        <f>COUNT(A19:A27)</f>
        <v>9</v>
      </c>
      <c r="B28" s="46" t="s">
        <v>2</v>
      </c>
      <c r="C28" s="47"/>
      <c r="D28" s="11"/>
      <c r="E28" s="11">
        <f aca="true" t="shared" si="4" ref="E28:J28">SUM(E19:E27)</f>
        <v>0</v>
      </c>
      <c r="F28" s="11">
        <f t="shared" si="4"/>
        <v>0</v>
      </c>
      <c r="G28" s="11">
        <f t="shared" si="4"/>
        <v>0</v>
      </c>
      <c r="H28" s="11">
        <f t="shared" si="4"/>
        <v>2</v>
      </c>
      <c r="I28" s="11">
        <f t="shared" si="4"/>
        <v>7</v>
      </c>
      <c r="J28" s="51">
        <f t="shared" si="4"/>
        <v>58349.500000000015</v>
      </c>
    </row>
    <row r="29" spans="1:10" ht="12.75" customHeight="1">
      <c r="A29" s="40">
        <v>36746</v>
      </c>
      <c r="B29" s="8" t="s">
        <v>17</v>
      </c>
      <c r="C29" s="60" t="s">
        <v>4</v>
      </c>
      <c r="D29" s="61">
        <v>0.5</v>
      </c>
      <c r="E29" s="49"/>
      <c r="F29" s="62"/>
      <c r="G29" s="62"/>
      <c r="H29" s="62"/>
      <c r="I29" s="164">
        <v>1</v>
      </c>
      <c r="J29" s="161">
        <f aca="true" t="shared" si="5" ref="J29:J37">D29*(E29*$E$4+F29*$F$4+G29*$G$4+H29*$H$4+I29*$I$4)</f>
        <v>1060.8999999999999</v>
      </c>
    </row>
    <row r="30" spans="1:10" ht="12.75" customHeight="1">
      <c r="A30" s="41">
        <v>36874</v>
      </c>
      <c r="B30" s="9" t="s">
        <v>17</v>
      </c>
      <c r="C30" s="45" t="s">
        <v>50</v>
      </c>
      <c r="D30" s="42">
        <v>1</v>
      </c>
      <c r="E30" s="43"/>
      <c r="F30" s="44"/>
      <c r="G30" s="44"/>
      <c r="H30" s="44"/>
      <c r="I30" s="165">
        <v>1</v>
      </c>
      <c r="J30" s="162">
        <f t="shared" si="5"/>
        <v>2121.7999999999997</v>
      </c>
    </row>
    <row r="31" spans="1:10" ht="12.75" customHeight="1">
      <c r="A31" s="41">
        <v>37056</v>
      </c>
      <c r="B31" s="9" t="s">
        <v>17</v>
      </c>
      <c r="C31" s="45" t="s">
        <v>49</v>
      </c>
      <c r="D31" s="42">
        <v>1</v>
      </c>
      <c r="E31" s="43"/>
      <c r="F31" s="44"/>
      <c r="G31" s="44"/>
      <c r="H31" s="44"/>
      <c r="I31" s="165">
        <v>1</v>
      </c>
      <c r="J31" s="162">
        <f t="shared" si="5"/>
        <v>2121.7999999999997</v>
      </c>
    </row>
    <row r="32" spans="1:10" ht="12.75" customHeight="1">
      <c r="A32" s="41">
        <v>37278</v>
      </c>
      <c r="B32" s="9" t="s">
        <v>17</v>
      </c>
      <c r="C32" s="45" t="s">
        <v>49</v>
      </c>
      <c r="D32" s="42">
        <v>1</v>
      </c>
      <c r="E32" s="43"/>
      <c r="F32" s="44"/>
      <c r="G32" s="44">
        <v>2</v>
      </c>
      <c r="H32" s="44"/>
      <c r="I32" s="165"/>
      <c r="J32" s="162">
        <f t="shared" si="5"/>
        <v>93783.56</v>
      </c>
    </row>
    <row r="33" spans="1:10" ht="12.75" customHeight="1">
      <c r="A33" s="41">
        <v>37307</v>
      </c>
      <c r="B33" s="9" t="s">
        <v>17</v>
      </c>
      <c r="C33" s="45" t="s">
        <v>3</v>
      </c>
      <c r="D33" s="42">
        <v>0.5</v>
      </c>
      <c r="E33" s="43"/>
      <c r="F33" s="44"/>
      <c r="G33" s="44"/>
      <c r="H33" s="44"/>
      <c r="I33" s="165">
        <v>1</v>
      </c>
      <c r="J33" s="162">
        <f t="shared" si="5"/>
        <v>1060.8999999999999</v>
      </c>
    </row>
    <row r="34" spans="1:10" ht="12.75" customHeight="1">
      <c r="A34" s="41">
        <v>37488</v>
      </c>
      <c r="B34" s="9" t="s">
        <v>17</v>
      </c>
      <c r="C34" s="45" t="s">
        <v>6</v>
      </c>
      <c r="D34" s="42">
        <v>0.5</v>
      </c>
      <c r="E34" s="43"/>
      <c r="F34" s="44"/>
      <c r="G34" s="44"/>
      <c r="H34" s="44"/>
      <c r="I34" s="165">
        <v>1</v>
      </c>
      <c r="J34" s="162">
        <f t="shared" si="5"/>
        <v>1060.8999999999999</v>
      </c>
    </row>
    <row r="35" spans="1:10" ht="12.75" customHeight="1">
      <c r="A35" s="41">
        <v>37546</v>
      </c>
      <c r="B35" s="9" t="s">
        <v>17</v>
      </c>
      <c r="C35" s="45" t="s">
        <v>5</v>
      </c>
      <c r="D35" s="42">
        <v>1</v>
      </c>
      <c r="E35" s="43"/>
      <c r="F35" s="44"/>
      <c r="G35" s="44">
        <v>1</v>
      </c>
      <c r="H35" s="44"/>
      <c r="I35" s="165"/>
      <c r="J35" s="162">
        <f t="shared" si="5"/>
        <v>46891.78</v>
      </c>
    </row>
    <row r="36" spans="1:10" ht="12.75" customHeight="1">
      <c r="A36" s="41">
        <v>37546</v>
      </c>
      <c r="B36" s="9" t="s">
        <v>17</v>
      </c>
      <c r="C36" s="45" t="s">
        <v>49</v>
      </c>
      <c r="D36" s="42">
        <v>1</v>
      </c>
      <c r="E36" s="43"/>
      <c r="F36" s="44"/>
      <c r="G36" s="44">
        <v>1</v>
      </c>
      <c r="H36" s="44"/>
      <c r="I36" s="165"/>
      <c r="J36" s="162">
        <f t="shared" si="5"/>
        <v>46891.78</v>
      </c>
    </row>
    <row r="37" spans="1:10" ht="12.75" customHeight="1">
      <c r="A37" s="63">
        <v>37618</v>
      </c>
      <c r="B37" s="10" t="s">
        <v>17</v>
      </c>
      <c r="C37" s="64" t="s">
        <v>49</v>
      </c>
      <c r="D37" s="65">
        <v>1</v>
      </c>
      <c r="E37" s="66"/>
      <c r="F37" s="67"/>
      <c r="G37" s="67"/>
      <c r="H37" s="67"/>
      <c r="I37" s="166">
        <v>1</v>
      </c>
      <c r="J37" s="163">
        <f t="shared" si="5"/>
        <v>2121.7999999999997</v>
      </c>
    </row>
    <row r="38" spans="1:10" s="48" customFormat="1" ht="12.75" customHeight="1">
      <c r="A38" s="47">
        <f>COUNT(A29:A37)</f>
        <v>9</v>
      </c>
      <c r="B38" s="46" t="s">
        <v>2</v>
      </c>
      <c r="C38" s="47"/>
      <c r="D38" s="11"/>
      <c r="E38" s="11">
        <f aca="true" t="shared" si="6" ref="E38:J38">SUM(E29:E37)</f>
        <v>0</v>
      </c>
      <c r="F38" s="11">
        <f t="shared" si="6"/>
        <v>0</v>
      </c>
      <c r="G38" s="11">
        <f t="shared" si="6"/>
        <v>4</v>
      </c>
      <c r="H38" s="11">
        <f t="shared" si="6"/>
        <v>0</v>
      </c>
      <c r="I38" s="11">
        <f t="shared" si="6"/>
        <v>6</v>
      </c>
      <c r="J38" s="51">
        <f t="shared" si="6"/>
        <v>197115.21999999997</v>
      </c>
    </row>
    <row r="39" spans="1:10" ht="12.75" customHeight="1">
      <c r="A39" s="68">
        <v>36715</v>
      </c>
      <c r="B39" s="69" t="s">
        <v>0</v>
      </c>
      <c r="C39" s="70" t="s">
        <v>49</v>
      </c>
      <c r="D39" s="71">
        <v>1</v>
      </c>
      <c r="E39" s="72"/>
      <c r="F39" s="73"/>
      <c r="G39" s="73">
        <v>1</v>
      </c>
      <c r="H39" s="73"/>
      <c r="I39" s="168"/>
      <c r="J39" s="167">
        <f>D39*(E39*$E$4+F39*$F$4+G39*$G$4+H39*$H$4+I39*$I$4)</f>
        <v>46891.78</v>
      </c>
    </row>
    <row r="40" spans="1:10" s="48" customFormat="1" ht="12.75" customHeight="1">
      <c r="A40" s="74">
        <f>COUNT(A39)</f>
        <v>1</v>
      </c>
      <c r="B40" s="75" t="s">
        <v>2</v>
      </c>
      <c r="C40" s="74"/>
      <c r="D40" s="76"/>
      <c r="E40" s="76">
        <f aca="true" t="shared" si="7" ref="E40:J40">SUM(E39)</f>
        <v>0</v>
      </c>
      <c r="F40" s="76">
        <f t="shared" si="7"/>
        <v>0</v>
      </c>
      <c r="G40" s="76">
        <f t="shared" si="7"/>
        <v>1</v>
      </c>
      <c r="H40" s="76">
        <f t="shared" si="7"/>
        <v>0</v>
      </c>
      <c r="I40" s="76">
        <f t="shared" si="7"/>
        <v>0</v>
      </c>
      <c r="J40" s="77">
        <f t="shared" si="7"/>
        <v>46891.78</v>
      </c>
    </row>
    <row r="41" spans="1:10" ht="12.75" customHeight="1">
      <c r="A41" s="40">
        <v>36832</v>
      </c>
      <c r="B41" s="8" t="s">
        <v>19</v>
      </c>
      <c r="C41" s="60" t="s">
        <v>49</v>
      </c>
      <c r="D41" s="61">
        <v>1</v>
      </c>
      <c r="E41" s="49"/>
      <c r="F41" s="62"/>
      <c r="G41" s="62">
        <v>1</v>
      </c>
      <c r="H41" s="62"/>
      <c r="I41" s="164"/>
      <c r="J41" s="161">
        <f aca="true" t="shared" si="8" ref="J41:J49">D41*(E41*$E$4+F41*$F$4+G41*$G$4+H41*$H$4+I41*$I$4)</f>
        <v>46891.78</v>
      </c>
    </row>
    <row r="42" spans="1:10" ht="12.75" customHeight="1">
      <c r="A42" s="41">
        <v>37110</v>
      </c>
      <c r="B42" s="9" t="s">
        <v>19</v>
      </c>
      <c r="C42" s="45" t="s">
        <v>6</v>
      </c>
      <c r="D42" s="42">
        <v>1</v>
      </c>
      <c r="E42" s="43">
        <v>2</v>
      </c>
      <c r="F42" s="44"/>
      <c r="G42" s="44">
        <v>1</v>
      </c>
      <c r="H42" s="44"/>
      <c r="I42" s="165"/>
      <c r="J42" s="162">
        <f t="shared" si="8"/>
        <v>7409537.78</v>
      </c>
    </row>
    <row r="43" spans="1:10" ht="12.75" customHeight="1">
      <c r="A43" s="41">
        <v>37315</v>
      </c>
      <c r="B43" s="9" t="s">
        <v>19</v>
      </c>
      <c r="C43" s="45" t="s">
        <v>49</v>
      </c>
      <c r="D43" s="42">
        <v>1</v>
      </c>
      <c r="E43" s="43"/>
      <c r="F43" s="44"/>
      <c r="G43" s="44"/>
      <c r="H43" s="44"/>
      <c r="I43" s="165">
        <v>1</v>
      </c>
      <c r="J43" s="162">
        <f t="shared" si="8"/>
        <v>2121.7999999999997</v>
      </c>
    </row>
    <row r="44" spans="1:10" ht="12.75" customHeight="1">
      <c r="A44" s="41">
        <v>37476</v>
      </c>
      <c r="B44" s="9" t="s">
        <v>19</v>
      </c>
      <c r="C44" s="45" t="s">
        <v>3</v>
      </c>
      <c r="D44" s="42">
        <v>0.5</v>
      </c>
      <c r="E44" s="43"/>
      <c r="F44" s="44"/>
      <c r="G44" s="44"/>
      <c r="H44" s="44"/>
      <c r="I44" s="165">
        <v>1</v>
      </c>
      <c r="J44" s="162">
        <f t="shared" si="8"/>
        <v>1060.8999999999999</v>
      </c>
    </row>
    <row r="45" spans="1:10" ht="12.75" customHeight="1">
      <c r="A45" s="41">
        <v>37527</v>
      </c>
      <c r="B45" s="9" t="s">
        <v>19</v>
      </c>
      <c r="C45" s="45" t="s">
        <v>3</v>
      </c>
      <c r="D45" s="42">
        <v>0.5</v>
      </c>
      <c r="E45" s="43"/>
      <c r="F45" s="44"/>
      <c r="G45" s="44"/>
      <c r="H45" s="44"/>
      <c r="I45" s="165">
        <v>1</v>
      </c>
      <c r="J45" s="162">
        <f t="shared" si="8"/>
        <v>1060.8999999999999</v>
      </c>
    </row>
    <row r="46" spans="1:10" ht="12.75" customHeight="1">
      <c r="A46" s="41">
        <v>37569</v>
      </c>
      <c r="B46" s="9" t="s">
        <v>19</v>
      </c>
      <c r="C46" s="45" t="s">
        <v>49</v>
      </c>
      <c r="D46" s="42">
        <v>1</v>
      </c>
      <c r="E46" s="43"/>
      <c r="F46" s="44"/>
      <c r="G46" s="44"/>
      <c r="H46" s="44"/>
      <c r="I46" s="165">
        <v>1</v>
      </c>
      <c r="J46" s="162">
        <f t="shared" si="8"/>
        <v>2121.7999999999997</v>
      </c>
    </row>
    <row r="47" spans="1:10" ht="12.75" customHeight="1">
      <c r="A47" s="41">
        <v>37644</v>
      </c>
      <c r="B47" s="9" t="s">
        <v>19</v>
      </c>
      <c r="C47" s="45" t="s">
        <v>49</v>
      </c>
      <c r="D47" s="42">
        <v>1</v>
      </c>
      <c r="E47" s="43"/>
      <c r="F47" s="44"/>
      <c r="G47" s="44"/>
      <c r="H47" s="44">
        <v>1</v>
      </c>
      <c r="I47" s="165"/>
      <c r="J47" s="162">
        <f t="shared" si="8"/>
        <v>22278.899999999998</v>
      </c>
    </row>
    <row r="48" spans="1:10" ht="12.75" customHeight="1">
      <c r="A48" s="41">
        <v>37673</v>
      </c>
      <c r="B48" s="9" t="s">
        <v>19</v>
      </c>
      <c r="C48" s="45" t="s">
        <v>50</v>
      </c>
      <c r="D48" s="42">
        <v>1</v>
      </c>
      <c r="E48" s="43"/>
      <c r="F48" s="44"/>
      <c r="G48" s="44"/>
      <c r="H48" s="44">
        <v>1</v>
      </c>
      <c r="I48" s="165"/>
      <c r="J48" s="162">
        <f t="shared" si="8"/>
        <v>22278.899999999998</v>
      </c>
    </row>
    <row r="49" spans="1:10" ht="12.75" customHeight="1">
      <c r="A49" s="63">
        <v>37763</v>
      </c>
      <c r="B49" s="10" t="s">
        <v>19</v>
      </c>
      <c r="C49" s="64" t="s">
        <v>5</v>
      </c>
      <c r="D49" s="65">
        <v>1</v>
      </c>
      <c r="E49" s="66"/>
      <c r="F49" s="67"/>
      <c r="G49" s="67"/>
      <c r="H49" s="67"/>
      <c r="I49" s="166">
        <v>1</v>
      </c>
      <c r="J49" s="163">
        <f t="shared" si="8"/>
        <v>2121.7999999999997</v>
      </c>
    </row>
    <row r="50" spans="1:10" s="48" customFormat="1" ht="12.75" customHeight="1" thickBot="1">
      <c r="A50" s="78">
        <f>COUNT(A41:A49)</f>
        <v>9</v>
      </c>
      <c r="B50" s="79" t="s">
        <v>2</v>
      </c>
      <c r="C50" s="78"/>
      <c r="D50" s="80"/>
      <c r="E50" s="80">
        <f aca="true" t="shared" si="9" ref="E50:J50">SUM(E41:E49)</f>
        <v>2</v>
      </c>
      <c r="F50" s="80">
        <f t="shared" si="9"/>
        <v>0</v>
      </c>
      <c r="G50" s="80">
        <f t="shared" si="9"/>
        <v>2</v>
      </c>
      <c r="H50" s="80">
        <f t="shared" si="9"/>
        <v>2</v>
      </c>
      <c r="I50" s="80">
        <f t="shared" si="9"/>
        <v>5</v>
      </c>
      <c r="J50" s="81">
        <f t="shared" si="9"/>
        <v>7509474.560000001</v>
      </c>
    </row>
    <row r="51" spans="1:10" s="83" customFormat="1" ht="12.75" customHeight="1" thickBot="1">
      <c r="A51" s="120">
        <f>SUM(A12,A18,A28,A38,A40,A50)</f>
        <v>39</v>
      </c>
      <c r="B51" s="121" t="s">
        <v>1</v>
      </c>
      <c r="C51" s="120"/>
      <c r="D51" s="122"/>
      <c r="E51" s="122">
        <f>SUM(E12,E18,E28,E38,E40,E50)</f>
        <v>2</v>
      </c>
      <c r="F51" s="122">
        <f>SUM(F12,F18,F28,F38,F40,F50)</f>
        <v>0</v>
      </c>
      <c r="G51" s="122">
        <f>SUM(G12,G18,G28,G38,G40,G50)</f>
        <v>10</v>
      </c>
      <c r="H51" s="122">
        <f>SUM(H12,H18,H28,H38,H40,H50)</f>
        <v>7</v>
      </c>
      <c r="I51" s="122">
        <f>SUM(I12,I18,I28,I38,I40,I50)</f>
        <v>23</v>
      </c>
      <c r="J51" s="82"/>
    </row>
    <row r="52" ht="12.75" customHeight="1"/>
    <row r="53" spans="9:10" ht="12.75" customHeight="1">
      <c r="I53" s="84" t="s">
        <v>66</v>
      </c>
      <c r="J53" s="85">
        <f>SUM(J6:J11,J13:J17,J19:J27,J29:J37,J39,J41:J49)</f>
        <v>7970966.060000001</v>
      </c>
    </row>
    <row r="54" spans="9:10" ht="12.75" customHeight="1">
      <c r="I54" s="84" t="s">
        <v>65</v>
      </c>
      <c r="J54" s="86">
        <f>J53/3</f>
        <v>2656988.686666667</v>
      </c>
    </row>
  </sheetData>
  <mergeCells count="1">
    <mergeCell ref="E2:I2"/>
  </mergeCells>
  <printOptions/>
  <pageMargins left="1" right="0.25" top="0.71" bottom="0.5" header="0.26" footer="0.27"/>
  <pageSetup fitToHeight="2" horizontalDpi="600" verticalDpi="600" orientation="portrait" r:id="rId1"/>
  <headerFooter alignWithMargins="0">
    <oddFooter>&amp;L&amp;8&amp;F --- &amp;A&amp;C&amp;8Printed &amp;D &amp;T&amp;R&amp;8Page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6">
      <selection activeCell="M37" sqref="M37"/>
    </sheetView>
  </sheetViews>
  <sheetFormatPr defaultColWidth="9.140625" defaultRowHeight="12.75"/>
  <cols>
    <col min="1" max="1" width="9.28125" style="57" customWidth="1"/>
    <col min="2" max="2" width="8.7109375" style="53" customWidth="1"/>
    <col min="3" max="3" width="14.28125" style="57" customWidth="1"/>
    <col min="4" max="4" width="7.7109375" style="58" customWidth="1"/>
    <col min="5" max="5" width="7.28125" style="7" customWidth="1"/>
    <col min="6" max="6" width="6.28125" style="7" customWidth="1"/>
    <col min="7" max="8" width="5.421875" style="7" customWidth="1"/>
    <col min="9" max="9" width="5.28125" style="7" customWidth="1"/>
    <col min="10" max="10" width="11.7109375" style="59" customWidth="1"/>
    <col min="11" max="11" width="11.421875" style="7" bestFit="1" customWidth="1"/>
    <col min="12" max="16384" width="8.8515625" style="7" customWidth="1"/>
  </cols>
  <sheetData>
    <row r="1" spans="1:10" ht="25.5" customHeight="1" thickBot="1">
      <c r="A1" s="123" t="s">
        <v>11</v>
      </c>
      <c r="B1" s="124"/>
      <c r="C1" s="125"/>
      <c r="D1" s="124"/>
      <c r="E1" s="124"/>
      <c r="F1" s="124"/>
      <c r="G1" s="124"/>
      <c r="H1" s="124"/>
      <c r="I1" s="124"/>
      <c r="J1" s="126"/>
    </row>
    <row r="2" spans="1:10" s="38" customFormat="1" ht="12.75" customHeight="1" thickTop="1">
      <c r="A2" s="88"/>
      <c r="B2" s="55"/>
      <c r="C2" s="54"/>
      <c r="D2" s="95" t="s">
        <v>61</v>
      </c>
      <c r="E2" s="299" t="s">
        <v>78</v>
      </c>
      <c r="F2" s="299"/>
      <c r="G2" s="299"/>
      <c r="H2" s="299"/>
      <c r="I2" s="299"/>
      <c r="J2" s="158" t="s">
        <v>58</v>
      </c>
    </row>
    <row r="3" spans="1:10" s="38" customFormat="1" ht="12.75" customHeight="1">
      <c r="A3" s="88" t="s">
        <v>59</v>
      </c>
      <c r="B3" s="55" t="s">
        <v>63</v>
      </c>
      <c r="C3" s="54"/>
      <c r="D3" s="95" t="s">
        <v>62</v>
      </c>
      <c r="E3" s="93" t="s">
        <v>51</v>
      </c>
      <c r="F3" s="56" t="s">
        <v>52</v>
      </c>
      <c r="G3" s="56" t="s">
        <v>53</v>
      </c>
      <c r="H3" s="56" t="s">
        <v>54</v>
      </c>
      <c r="I3" s="97" t="s">
        <v>55</v>
      </c>
      <c r="J3" s="159" t="s">
        <v>60</v>
      </c>
    </row>
    <row r="4" spans="1:10" ht="13.5" thickBot="1">
      <c r="A4" s="89" t="s">
        <v>58</v>
      </c>
      <c r="B4" s="90" t="s">
        <v>64</v>
      </c>
      <c r="C4" s="91" t="s">
        <v>48</v>
      </c>
      <c r="D4" s="96" t="s">
        <v>57</v>
      </c>
      <c r="E4" s="94">
        <f>'Inputs &amp; Outputs'!H28</f>
        <v>3681323</v>
      </c>
      <c r="F4" s="92">
        <f>'Inputs &amp; Outputs'!H29</f>
        <v>182474.8</v>
      </c>
      <c r="G4" s="92">
        <f>'Inputs &amp; Outputs'!H30</f>
        <v>46891.78</v>
      </c>
      <c r="H4" s="92">
        <f>'Inputs &amp; Outputs'!H31</f>
        <v>22278.899999999998</v>
      </c>
      <c r="I4" s="98">
        <f>'Inputs &amp; Outputs'!H32</f>
        <v>2121.7999999999997</v>
      </c>
      <c r="J4" s="160" t="s">
        <v>56</v>
      </c>
    </row>
    <row r="6" spans="1:10" ht="12.75" customHeight="1">
      <c r="A6" s="41">
        <v>36715</v>
      </c>
      <c r="B6" s="152" t="s">
        <v>0</v>
      </c>
      <c r="C6" s="153" t="s">
        <v>49</v>
      </c>
      <c r="D6" s="154">
        <v>1</v>
      </c>
      <c r="E6" s="43"/>
      <c r="F6" s="44"/>
      <c r="G6" s="44">
        <v>1</v>
      </c>
      <c r="H6" s="44"/>
      <c r="I6" s="44"/>
      <c r="J6" s="50">
        <f>D6*(E6*$E$4+F6*$F$4+G6*$G$4+H6*$H$4+I6*$I$4)</f>
        <v>46891.78</v>
      </c>
    </row>
    <row r="7" spans="1:10" ht="12.75" customHeight="1">
      <c r="A7" s="41">
        <v>36746</v>
      </c>
      <c r="B7" s="152" t="s">
        <v>17</v>
      </c>
      <c r="C7" s="153" t="s">
        <v>4</v>
      </c>
      <c r="D7" s="154">
        <v>0.5</v>
      </c>
      <c r="E7" s="43"/>
      <c r="F7" s="44"/>
      <c r="G7" s="44"/>
      <c r="H7" s="44"/>
      <c r="I7" s="44">
        <v>1</v>
      </c>
      <c r="J7" s="50">
        <f>D7*(E7*$E$4+F7*$F$4+G7*$G$4+H7*$H$4+I7*$I$4)</f>
        <v>1060.8999999999999</v>
      </c>
    </row>
    <row r="8" spans="1:10" ht="12.75" customHeight="1">
      <c r="A8" s="41">
        <v>36750</v>
      </c>
      <c r="B8" s="152" t="s">
        <v>16</v>
      </c>
      <c r="C8" s="153" t="s">
        <v>49</v>
      </c>
      <c r="D8" s="154">
        <v>1</v>
      </c>
      <c r="E8" s="43"/>
      <c r="F8" s="44"/>
      <c r="G8" s="44"/>
      <c r="H8" s="44">
        <v>1</v>
      </c>
      <c r="I8" s="44"/>
      <c r="J8" s="50">
        <f aca="true" t="shared" si="0" ref="J8:J15">D8*(E8*$E$4+F8*$F$4+G8*$G$4+H8*$H$4+I8*$I$4)</f>
        <v>22278.899999999998</v>
      </c>
    </row>
    <row r="9" spans="1:10" ht="12.75" customHeight="1">
      <c r="A9" s="41">
        <v>36769</v>
      </c>
      <c r="B9" s="152" t="s">
        <v>16</v>
      </c>
      <c r="C9" s="153" t="s">
        <v>49</v>
      </c>
      <c r="D9" s="154">
        <v>1</v>
      </c>
      <c r="E9" s="43"/>
      <c r="F9" s="44"/>
      <c r="G9" s="44"/>
      <c r="H9" s="44">
        <v>1</v>
      </c>
      <c r="I9" s="44"/>
      <c r="J9" s="50">
        <f t="shared" si="0"/>
        <v>22278.899999999998</v>
      </c>
    </row>
    <row r="10" spans="1:10" ht="12.75" customHeight="1">
      <c r="A10" s="41">
        <v>36832</v>
      </c>
      <c r="B10" s="152" t="s">
        <v>19</v>
      </c>
      <c r="C10" s="153" t="s">
        <v>49</v>
      </c>
      <c r="D10" s="154">
        <v>1</v>
      </c>
      <c r="E10" s="43"/>
      <c r="F10" s="44"/>
      <c r="G10" s="44">
        <v>1</v>
      </c>
      <c r="H10" s="44"/>
      <c r="I10" s="44"/>
      <c r="J10" s="50">
        <f>D10*(E10*$E$4+F10*$F$4+G10*$G$4+H10*$H$4+I10*$I$4)</f>
        <v>46891.78</v>
      </c>
    </row>
    <row r="11" spans="1:10" ht="12.75" customHeight="1">
      <c r="A11" s="41">
        <v>36874</v>
      </c>
      <c r="B11" s="152" t="s">
        <v>17</v>
      </c>
      <c r="C11" s="153" t="s">
        <v>50</v>
      </c>
      <c r="D11" s="154">
        <v>1</v>
      </c>
      <c r="E11" s="43"/>
      <c r="F11" s="44"/>
      <c r="G11" s="44"/>
      <c r="H11" s="44"/>
      <c r="I11" s="44">
        <v>1</v>
      </c>
      <c r="J11" s="50">
        <f t="shared" si="0"/>
        <v>2121.7999999999997</v>
      </c>
    </row>
    <row r="12" spans="1:10" ht="12.75" customHeight="1">
      <c r="A12" s="41">
        <v>36925</v>
      </c>
      <c r="B12" s="152" t="s">
        <v>16</v>
      </c>
      <c r="C12" s="153" t="s">
        <v>50</v>
      </c>
      <c r="D12" s="154">
        <v>1</v>
      </c>
      <c r="E12" s="43"/>
      <c r="F12" s="44"/>
      <c r="G12" s="44"/>
      <c r="H12" s="44"/>
      <c r="I12" s="44">
        <v>1</v>
      </c>
      <c r="J12" s="50">
        <f t="shared" si="0"/>
        <v>2121.7999999999997</v>
      </c>
    </row>
    <row r="13" spans="1:10" ht="12.75" customHeight="1">
      <c r="A13" s="41">
        <v>36939</v>
      </c>
      <c r="B13" s="152" t="s">
        <v>15</v>
      </c>
      <c r="C13" s="153" t="s">
        <v>50</v>
      </c>
      <c r="D13" s="154">
        <v>1</v>
      </c>
      <c r="E13" s="43"/>
      <c r="F13" s="44"/>
      <c r="G13" s="44">
        <v>1</v>
      </c>
      <c r="H13" s="44"/>
      <c r="I13" s="44"/>
      <c r="J13" s="50">
        <f>D13*(E13*$E$4+F13*$F$4+G13*$G$4+H13*$H$4+I13*$I$4)</f>
        <v>46891.78</v>
      </c>
    </row>
    <row r="14" spans="1:10" ht="12.75" customHeight="1">
      <c r="A14" s="41">
        <v>36990</v>
      </c>
      <c r="B14" s="152" t="s">
        <v>16</v>
      </c>
      <c r="C14" s="153" t="s">
        <v>49</v>
      </c>
      <c r="D14" s="154">
        <v>1</v>
      </c>
      <c r="E14" s="43"/>
      <c r="F14" s="44"/>
      <c r="G14" s="44"/>
      <c r="H14" s="44"/>
      <c r="I14" s="44">
        <v>1</v>
      </c>
      <c r="J14" s="50">
        <f t="shared" si="0"/>
        <v>2121.7999999999997</v>
      </c>
    </row>
    <row r="15" spans="1:10" ht="12.75" customHeight="1">
      <c r="A15" s="41">
        <v>37056</v>
      </c>
      <c r="B15" s="152" t="s">
        <v>17</v>
      </c>
      <c r="C15" s="153" t="s">
        <v>49</v>
      </c>
      <c r="D15" s="154">
        <v>1</v>
      </c>
      <c r="E15" s="43"/>
      <c r="F15" s="44"/>
      <c r="G15" s="44"/>
      <c r="H15" s="44"/>
      <c r="I15" s="44">
        <v>1</v>
      </c>
      <c r="J15" s="50">
        <f t="shared" si="0"/>
        <v>2121.7999999999997</v>
      </c>
    </row>
    <row r="16" spans="1:10" ht="12.75" customHeight="1">
      <c r="A16" s="41">
        <v>37110</v>
      </c>
      <c r="B16" s="152" t="s">
        <v>19</v>
      </c>
      <c r="C16" s="153" t="s">
        <v>6</v>
      </c>
      <c r="D16" s="154">
        <v>1</v>
      </c>
      <c r="E16" s="43">
        <v>2</v>
      </c>
      <c r="F16" s="44"/>
      <c r="G16" s="44">
        <v>1</v>
      </c>
      <c r="H16" s="44"/>
      <c r="I16" s="44"/>
      <c r="J16" s="50">
        <f aca="true" t="shared" si="1" ref="J16:J25">D16*(E16*$E$4+F16*$F$4+G16*$G$4+H16*$H$4+I16*$I$4)</f>
        <v>7409537.78</v>
      </c>
    </row>
    <row r="17" spans="1:10" ht="12.75" customHeight="1">
      <c r="A17" s="41">
        <v>37167</v>
      </c>
      <c r="B17" s="152" t="s">
        <v>14</v>
      </c>
      <c r="C17" s="153" t="s">
        <v>49</v>
      </c>
      <c r="D17" s="154">
        <v>1</v>
      </c>
      <c r="E17" s="43"/>
      <c r="F17" s="44"/>
      <c r="G17" s="44">
        <v>1</v>
      </c>
      <c r="H17" s="44"/>
      <c r="I17" s="44"/>
      <c r="J17" s="50">
        <f t="shared" si="1"/>
        <v>46891.78</v>
      </c>
    </row>
    <row r="18" spans="1:10" ht="12.75" customHeight="1">
      <c r="A18" s="41">
        <v>37173</v>
      </c>
      <c r="B18" s="152" t="s">
        <v>14</v>
      </c>
      <c r="C18" s="153" t="s">
        <v>49</v>
      </c>
      <c r="D18" s="154">
        <v>1</v>
      </c>
      <c r="E18" s="43"/>
      <c r="F18" s="44"/>
      <c r="G18" s="44"/>
      <c r="H18" s="44"/>
      <c r="I18" s="44">
        <v>1</v>
      </c>
      <c r="J18" s="50">
        <f t="shared" si="1"/>
        <v>2121.7999999999997</v>
      </c>
    </row>
    <row r="19" spans="1:10" ht="12.75" customHeight="1">
      <c r="A19" s="41">
        <v>37173</v>
      </c>
      <c r="B19" s="152" t="s">
        <v>16</v>
      </c>
      <c r="C19" s="153" t="s">
        <v>49</v>
      </c>
      <c r="D19" s="154">
        <v>1</v>
      </c>
      <c r="E19" s="43"/>
      <c r="F19" s="44"/>
      <c r="G19" s="44"/>
      <c r="H19" s="44"/>
      <c r="I19" s="44">
        <v>1</v>
      </c>
      <c r="J19" s="50">
        <f t="shared" si="1"/>
        <v>2121.7999999999997</v>
      </c>
    </row>
    <row r="20" spans="1:10" ht="12.75" customHeight="1">
      <c r="A20" s="41">
        <v>37278</v>
      </c>
      <c r="B20" s="152" t="s">
        <v>17</v>
      </c>
      <c r="C20" s="153" t="s">
        <v>49</v>
      </c>
      <c r="D20" s="154">
        <v>1</v>
      </c>
      <c r="E20" s="43"/>
      <c r="F20" s="44"/>
      <c r="G20" s="44">
        <v>2</v>
      </c>
      <c r="H20" s="44"/>
      <c r="I20" s="44"/>
      <c r="J20" s="50">
        <f t="shared" si="1"/>
        <v>93783.56</v>
      </c>
    </row>
    <row r="21" spans="1:10" ht="12.75" customHeight="1">
      <c r="A21" s="41">
        <v>37297</v>
      </c>
      <c r="B21" s="152" t="s">
        <v>15</v>
      </c>
      <c r="C21" s="153" t="s">
        <v>50</v>
      </c>
      <c r="D21" s="154">
        <v>1</v>
      </c>
      <c r="E21" s="43"/>
      <c r="F21" s="44"/>
      <c r="G21" s="44"/>
      <c r="H21" s="44"/>
      <c r="I21" s="44">
        <v>1</v>
      </c>
      <c r="J21" s="50">
        <f t="shared" si="1"/>
        <v>2121.7999999999997</v>
      </c>
    </row>
    <row r="22" spans="1:10" ht="12.75" customHeight="1">
      <c r="A22" s="41">
        <v>37307</v>
      </c>
      <c r="B22" s="152" t="s">
        <v>17</v>
      </c>
      <c r="C22" s="153" t="s">
        <v>3</v>
      </c>
      <c r="D22" s="154">
        <v>0.5</v>
      </c>
      <c r="E22" s="43"/>
      <c r="F22" s="44"/>
      <c r="G22" s="44"/>
      <c r="H22" s="44"/>
      <c r="I22" s="44">
        <v>1</v>
      </c>
      <c r="J22" s="50">
        <f t="shared" si="1"/>
        <v>1060.8999999999999</v>
      </c>
    </row>
    <row r="23" spans="1:10" ht="12.75" customHeight="1">
      <c r="A23" s="41">
        <v>37315</v>
      </c>
      <c r="B23" s="152" t="s">
        <v>19</v>
      </c>
      <c r="C23" s="153" t="s">
        <v>49</v>
      </c>
      <c r="D23" s="154">
        <v>1</v>
      </c>
      <c r="E23" s="43"/>
      <c r="F23" s="44"/>
      <c r="G23" s="44"/>
      <c r="H23" s="44"/>
      <c r="I23" s="44">
        <v>1</v>
      </c>
      <c r="J23" s="50">
        <f t="shared" si="1"/>
        <v>2121.7999999999997</v>
      </c>
    </row>
    <row r="24" spans="1:10" ht="12.75" customHeight="1">
      <c r="A24" s="41">
        <v>37349</v>
      </c>
      <c r="B24" s="152" t="s">
        <v>15</v>
      </c>
      <c r="C24" s="153" t="s">
        <v>49</v>
      </c>
      <c r="D24" s="154">
        <v>1</v>
      </c>
      <c r="E24" s="43"/>
      <c r="F24" s="44"/>
      <c r="G24" s="44"/>
      <c r="H24" s="44"/>
      <c r="I24" s="44">
        <v>1</v>
      </c>
      <c r="J24" s="50">
        <f t="shared" si="1"/>
        <v>2121.7999999999997</v>
      </c>
    </row>
    <row r="25" spans="1:10" ht="12.75" customHeight="1">
      <c r="A25" s="41">
        <v>37361</v>
      </c>
      <c r="B25" s="152" t="s">
        <v>16</v>
      </c>
      <c r="C25" s="153" t="s">
        <v>49</v>
      </c>
      <c r="D25" s="154">
        <v>1</v>
      </c>
      <c r="E25" s="43"/>
      <c r="F25" s="44"/>
      <c r="G25" s="44"/>
      <c r="H25" s="44"/>
      <c r="I25" s="44">
        <v>1</v>
      </c>
      <c r="J25" s="50">
        <f t="shared" si="1"/>
        <v>2121.7999999999997</v>
      </c>
    </row>
    <row r="26" spans="1:10" ht="12.75" customHeight="1">
      <c r="A26" s="41">
        <v>37373</v>
      </c>
      <c r="B26" s="152" t="s">
        <v>16</v>
      </c>
      <c r="C26" s="153" t="s">
        <v>5</v>
      </c>
      <c r="D26" s="154">
        <v>1</v>
      </c>
      <c r="E26" s="43"/>
      <c r="F26" s="44"/>
      <c r="G26" s="44"/>
      <c r="H26" s="44"/>
      <c r="I26" s="44">
        <v>1</v>
      </c>
      <c r="J26" s="50">
        <f aca="true" t="shared" si="2" ref="J26:J35">D26*(E26*$E$4+F26*$F$4+G26*$G$4+H26*$H$4+I26*$I$4)</f>
        <v>2121.7999999999997</v>
      </c>
    </row>
    <row r="27" spans="1:10" ht="12.75" customHeight="1">
      <c r="A27" s="41">
        <v>37426</v>
      </c>
      <c r="B27" s="152" t="s">
        <v>15</v>
      </c>
      <c r="C27" s="153" t="s">
        <v>4</v>
      </c>
      <c r="D27" s="154">
        <v>0.5</v>
      </c>
      <c r="E27" s="43"/>
      <c r="F27" s="44"/>
      <c r="G27" s="44"/>
      <c r="H27" s="44">
        <v>1</v>
      </c>
      <c r="I27" s="44"/>
      <c r="J27" s="50">
        <f>D27*(E27*$E$4+F27*$F$4+G27*$G$4+H27*$H$4+I27*$I$4)</f>
        <v>11139.449999999999</v>
      </c>
    </row>
    <row r="28" spans="1:10" ht="12.75" customHeight="1">
      <c r="A28" s="41">
        <v>37427</v>
      </c>
      <c r="B28" s="152" t="s">
        <v>14</v>
      </c>
      <c r="C28" s="153" t="s">
        <v>3</v>
      </c>
      <c r="D28" s="154">
        <v>0.5</v>
      </c>
      <c r="E28" s="43"/>
      <c r="F28" s="44"/>
      <c r="G28" s="44"/>
      <c r="H28" s="44"/>
      <c r="I28" s="44">
        <v>1</v>
      </c>
      <c r="J28" s="50">
        <f t="shared" si="2"/>
        <v>1060.8999999999999</v>
      </c>
    </row>
    <row r="29" spans="1:10" ht="12.75" customHeight="1">
      <c r="A29" s="41">
        <v>37432</v>
      </c>
      <c r="B29" s="152" t="s">
        <v>16</v>
      </c>
      <c r="C29" s="153" t="s">
        <v>49</v>
      </c>
      <c r="D29" s="154">
        <v>1</v>
      </c>
      <c r="E29" s="43"/>
      <c r="F29" s="44"/>
      <c r="G29" s="44"/>
      <c r="H29" s="44"/>
      <c r="I29" s="44">
        <v>1</v>
      </c>
      <c r="J29" s="50">
        <f t="shared" si="2"/>
        <v>2121.7999999999997</v>
      </c>
    </row>
    <row r="30" spans="1:10" ht="12.75" customHeight="1">
      <c r="A30" s="41">
        <v>37476</v>
      </c>
      <c r="B30" s="152" t="s">
        <v>19</v>
      </c>
      <c r="C30" s="153" t="s">
        <v>3</v>
      </c>
      <c r="D30" s="154">
        <v>0.5</v>
      </c>
      <c r="E30" s="43"/>
      <c r="F30" s="44"/>
      <c r="G30" s="44"/>
      <c r="H30" s="44"/>
      <c r="I30" s="44">
        <v>1</v>
      </c>
      <c r="J30" s="50">
        <f t="shared" si="2"/>
        <v>1060.8999999999999</v>
      </c>
    </row>
    <row r="31" spans="1:10" ht="12.75" customHeight="1">
      <c r="A31" s="41">
        <v>37488</v>
      </c>
      <c r="B31" s="152" t="s">
        <v>17</v>
      </c>
      <c r="C31" s="153" t="s">
        <v>6</v>
      </c>
      <c r="D31" s="154">
        <v>0.5</v>
      </c>
      <c r="E31" s="43"/>
      <c r="F31" s="44"/>
      <c r="G31" s="44"/>
      <c r="H31" s="44"/>
      <c r="I31" s="44">
        <v>1</v>
      </c>
      <c r="J31" s="50">
        <f t="shared" si="2"/>
        <v>1060.8999999999999</v>
      </c>
    </row>
    <row r="32" spans="1:10" ht="12.75" customHeight="1">
      <c r="A32" s="41">
        <v>37527</v>
      </c>
      <c r="B32" s="152" t="s">
        <v>19</v>
      </c>
      <c r="C32" s="153" t="s">
        <v>3</v>
      </c>
      <c r="D32" s="154">
        <v>0.5</v>
      </c>
      <c r="E32" s="43"/>
      <c r="F32" s="44"/>
      <c r="G32" s="44"/>
      <c r="H32" s="44"/>
      <c r="I32" s="44">
        <v>1</v>
      </c>
      <c r="J32" s="50">
        <f t="shared" si="2"/>
        <v>1060.8999999999999</v>
      </c>
    </row>
    <row r="33" spans="1:10" ht="12.75" customHeight="1">
      <c r="A33" s="41">
        <v>37546</v>
      </c>
      <c r="B33" s="152" t="s">
        <v>17</v>
      </c>
      <c r="C33" s="153" t="s">
        <v>49</v>
      </c>
      <c r="D33" s="154">
        <v>1</v>
      </c>
      <c r="E33" s="43"/>
      <c r="F33" s="44"/>
      <c r="G33" s="44">
        <v>1</v>
      </c>
      <c r="H33" s="44"/>
      <c r="I33" s="44"/>
      <c r="J33" s="50">
        <f t="shared" si="2"/>
        <v>46891.78</v>
      </c>
    </row>
    <row r="34" spans="1:10" ht="12.75" customHeight="1">
      <c r="A34" s="41">
        <v>37546</v>
      </c>
      <c r="B34" s="152" t="s">
        <v>17</v>
      </c>
      <c r="C34" s="153" t="s">
        <v>5</v>
      </c>
      <c r="D34" s="154">
        <v>1</v>
      </c>
      <c r="E34" s="43"/>
      <c r="F34" s="44"/>
      <c r="G34" s="44">
        <v>1</v>
      </c>
      <c r="H34" s="44"/>
      <c r="I34" s="44"/>
      <c r="J34" s="50">
        <f t="shared" si="2"/>
        <v>46891.78</v>
      </c>
    </row>
    <row r="35" spans="1:10" ht="12.75" customHeight="1">
      <c r="A35" s="41">
        <v>37569</v>
      </c>
      <c r="B35" s="152" t="s">
        <v>19</v>
      </c>
      <c r="C35" s="153" t="s">
        <v>49</v>
      </c>
      <c r="D35" s="154">
        <v>1</v>
      </c>
      <c r="E35" s="43"/>
      <c r="F35" s="44"/>
      <c r="G35" s="44"/>
      <c r="H35" s="44"/>
      <c r="I35" s="44">
        <v>1</v>
      </c>
      <c r="J35" s="50">
        <f t="shared" si="2"/>
        <v>2121.7999999999997</v>
      </c>
    </row>
    <row r="36" spans="1:10" ht="12.75" customHeight="1">
      <c r="A36" s="41">
        <v>37618</v>
      </c>
      <c r="B36" s="152" t="s">
        <v>17</v>
      </c>
      <c r="C36" s="153" t="s">
        <v>49</v>
      </c>
      <c r="D36" s="154">
        <v>1</v>
      </c>
      <c r="E36" s="43"/>
      <c r="F36" s="44"/>
      <c r="G36" s="44"/>
      <c r="H36" s="44"/>
      <c r="I36" s="44">
        <v>1</v>
      </c>
      <c r="J36" s="50">
        <f aca="true" t="shared" si="3" ref="J36:J44">D36*(E36*$E$4+F36*$F$4+G36*$G$4+H36*$H$4+I36*$I$4)</f>
        <v>2121.7999999999997</v>
      </c>
    </row>
    <row r="37" spans="1:10" ht="12.75" customHeight="1">
      <c r="A37" s="41">
        <v>37644</v>
      </c>
      <c r="B37" s="152" t="s">
        <v>19</v>
      </c>
      <c r="C37" s="153" t="s">
        <v>49</v>
      </c>
      <c r="D37" s="154">
        <v>1</v>
      </c>
      <c r="E37" s="43"/>
      <c r="F37" s="44"/>
      <c r="G37" s="44"/>
      <c r="H37" s="44">
        <v>1</v>
      </c>
      <c r="I37" s="44"/>
      <c r="J37" s="50">
        <f t="shared" si="3"/>
        <v>22278.899999999998</v>
      </c>
    </row>
    <row r="38" spans="1:10" ht="12.75" customHeight="1">
      <c r="A38" s="41">
        <v>37651</v>
      </c>
      <c r="B38" s="152" t="s">
        <v>14</v>
      </c>
      <c r="C38" s="153" t="s">
        <v>4</v>
      </c>
      <c r="D38" s="154">
        <v>0.5</v>
      </c>
      <c r="E38" s="43"/>
      <c r="F38" s="44"/>
      <c r="G38" s="44"/>
      <c r="H38" s="44">
        <v>1</v>
      </c>
      <c r="I38" s="44"/>
      <c r="J38" s="50">
        <f t="shared" si="3"/>
        <v>11139.449999999999</v>
      </c>
    </row>
    <row r="39" spans="1:10" ht="12.75" customHeight="1">
      <c r="A39" s="41">
        <v>37673</v>
      </c>
      <c r="B39" s="152" t="s">
        <v>19</v>
      </c>
      <c r="C39" s="153" t="s">
        <v>50</v>
      </c>
      <c r="D39" s="154">
        <v>1</v>
      </c>
      <c r="E39" s="43"/>
      <c r="F39" s="44"/>
      <c r="G39" s="44"/>
      <c r="H39" s="44">
        <v>1</v>
      </c>
      <c r="I39" s="44"/>
      <c r="J39" s="50">
        <f t="shared" si="3"/>
        <v>22278.899999999998</v>
      </c>
    </row>
    <row r="40" spans="1:10" ht="12.75" customHeight="1">
      <c r="A40" s="41">
        <v>37685</v>
      </c>
      <c r="B40" s="152" t="s">
        <v>14</v>
      </c>
      <c r="C40" s="153" t="s">
        <v>4</v>
      </c>
      <c r="D40" s="154">
        <v>0.5</v>
      </c>
      <c r="E40" s="43"/>
      <c r="F40" s="44"/>
      <c r="G40" s="44">
        <v>1</v>
      </c>
      <c r="H40" s="44"/>
      <c r="I40" s="44"/>
      <c r="J40" s="50">
        <f t="shared" si="3"/>
        <v>23445.89</v>
      </c>
    </row>
    <row r="41" spans="1:10" ht="12.75" customHeight="1">
      <c r="A41" s="41">
        <v>37697</v>
      </c>
      <c r="B41" s="152" t="s">
        <v>16</v>
      </c>
      <c r="C41" s="153" t="s">
        <v>4</v>
      </c>
      <c r="D41" s="154">
        <v>0.5</v>
      </c>
      <c r="E41" s="43"/>
      <c r="F41" s="44"/>
      <c r="G41" s="44"/>
      <c r="H41" s="44"/>
      <c r="I41" s="44">
        <v>1</v>
      </c>
      <c r="J41" s="50">
        <f t="shared" si="3"/>
        <v>1060.8999999999999</v>
      </c>
    </row>
    <row r="42" spans="1:10" ht="12.75" customHeight="1">
      <c r="A42" s="41">
        <v>37723</v>
      </c>
      <c r="B42" s="152" t="s">
        <v>15</v>
      </c>
      <c r="C42" s="153" t="s">
        <v>4</v>
      </c>
      <c r="D42" s="154">
        <v>0.5</v>
      </c>
      <c r="E42" s="43"/>
      <c r="F42" s="44"/>
      <c r="G42" s="44"/>
      <c r="H42" s="44">
        <v>1</v>
      </c>
      <c r="I42" s="44"/>
      <c r="J42" s="50">
        <f t="shared" si="3"/>
        <v>11139.449999999999</v>
      </c>
    </row>
    <row r="43" spans="1:10" ht="12.75" customHeight="1">
      <c r="A43" s="41">
        <v>37763</v>
      </c>
      <c r="B43" s="152" t="s">
        <v>19</v>
      </c>
      <c r="C43" s="153" t="s">
        <v>5</v>
      </c>
      <c r="D43" s="154">
        <v>1</v>
      </c>
      <c r="E43" s="43"/>
      <c r="F43" s="44"/>
      <c r="G43" s="44"/>
      <c r="H43" s="44"/>
      <c r="I43" s="44">
        <v>1</v>
      </c>
      <c r="J43" s="50">
        <f t="shared" si="3"/>
        <v>2121.7999999999997</v>
      </c>
    </row>
    <row r="44" spans="1:10" ht="12.75" customHeight="1">
      <c r="A44" s="41">
        <v>37777</v>
      </c>
      <c r="B44" s="152" t="s">
        <v>14</v>
      </c>
      <c r="C44" s="153" t="s">
        <v>4</v>
      </c>
      <c r="D44" s="154">
        <v>0.5</v>
      </c>
      <c r="E44" s="43"/>
      <c r="F44" s="44"/>
      <c r="G44" s="44"/>
      <c r="H44" s="44"/>
      <c r="I44" s="44">
        <v>1</v>
      </c>
      <c r="J44" s="50">
        <f t="shared" si="3"/>
        <v>1060.8999999999999</v>
      </c>
    </row>
    <row r="45" spans="1:10" s="83" customFormat="1" ht="12.75" customHeight="1">
      <c r="A45" s="148"/>
      <c r="B45" s="149" t="s">
        <v>1</v>
      </c>
      <c r="C45" s="148">
        <f>COUNTA(C6:C44)</f>
        <v>39</v>
      </c>
      <c r="D45" s="150"/>
      <c r="E45" s="150">
        <f>SUM(E6:E43)</f>
        <v>2</v>
      </c>
      <c r="F45" s="150">
        <f>SUM(F6:F43)</f>
        <v>0</v>
      </c>
      <c r="G45" s="150">
        <f>SUM(G6:G43)</f>
        <v>10</v>
      </c>
      <c r="H45" s="150">
        <f>SUM(H6:H43)</f>
        <v>7</v>
      </c>
      <c r="I45" s="150">
        <f>SUM(I6:I44)</f>
        <v>23</v>
      </c>
      <c r="J45" s="151"/>
    </row>
    <row r="46" ht="12.75" customHeight="1"/>
    <row r="47" spans="9:10" ht="12.75" customHeight="1">
      <c r="I47" s="84" t="s">
        <v>66</v>
      </c>
      <c r="J47" s="85">
        <f>SUM(J6:J11,J12:J16,J17:J25,J26:J34,J35,J36:J44)</f>
        <v>7970966.060000002</v>
      </c>
    </row>
    <row r="48" spans="9:10" ht="12.75" customHeight="1">
      <c r="I48" s="84" t="s">
        <v>65</v>
      </c>
      <c r="J48" s="86">
        <f>J47/3</f>
        <v>2656988.6866666675</v>
      </c>
    </row>
    <row r="56" spans="3:4" ht="12.75">
      <c r="C56" s="153" t="s">
        <v>3</v>
      </c>
      <c r="D56" s="58">
        <v>4</v>
      </c>
    </row>
    <row r="57" spans="3:4" ht="12.75">
      <c r="C57" s="153" t="s">
        <v>50</v>
      </c>
      <c r="D57" s="58">
        <v>5</v>
      </c>
    </row>
    <row r="58" spans="3:4" ht="12.75">
      <c r="C58" s="153" t="s">
        <v>6</v>
      </c>
      <c r="D58" s="58">
        <v>2</v>
      </c>
    </row>
    <row r="59" spans="3:4" ht="12.75">
      <c r="C59" s="153" t="s">
        <v>4</v>
      </c>
      <c r="D59" s="58">
        <v>7</v>
      </c>
    </row>
    <row r="60" spans="2:4" ht="12.75">
      <c r="B60" s="156"/>
      <c r="C60" s="153" t="s">
        <v>49</v>
      </c>
      <c r="D60" s="157">
        <v>18</v>
      </c>
    </row>
    <row r="61" spans="2:4" ht="12.75">
      <c r="B61" s="156"/>
      <c r="C61" s="153" t="s">
        <v>5</v>
      </c>
      <c r="D61" s="157">
        <v>3</v>
      </c>
    </row>
    <row r="62" spans="2:4" ht="12.75">
      <c r="B62" s="156"/>
      <c r="C62" s="25"/>
      <c r="D62" s="157">
        <f>SUM(D56:D61)</f>
        <v>39</v>
      </c>
    </row>
    <row r="63" spans="2:4" ht="12.75">
      <c r="B63" s="156"/>
      <c r="C63" s="25"/>
      <c r="D63" s="157"/>
    </row>
    <row r="64" spans="2:4" ht="12.75">
      <c r="B64" s="156"/>
      <c r="C64" s="155"/>
      <c r="D64" s="157"/>
    </row>
    <row r="65" spans="2:4" ht="12.75">
      <c r="B65" s="156"/>
      <c r="C65" s="25"/>
      <c r="D65" s="157"/>
    </row>
  </sheetData>
  <mergeCells count="1">
    <mergeCell ref="E2:I2"/>
  </mergeCells>
  <printOptions/>
  <pageMargins left="1" right="0.25" top="1" bottom="1" header="0.26" footer="0.27"/>
  <pageSetup fitToHeight="2" horizontalDpi="600" verticalDpi="600" orientation="portrait" r:id="rId1"/>
  <headerFooter alignWithMargins="0">
    <oddFooter>&amp;L&amp;8&amp;F --- &amp;A&amp;C&amp;8Printed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">
      <selection activeCell="F25" sqref="F25"/>
    </sheetView>
  </sheetViews>
  <sheetFormatPr defaultColWidth="9.140625" defaultRowHeight="12.75"/>
  <cols>
    <col min="1" max="1" width="21.57421875" style="0" customWidth="1"/>
    <col min="2" max="2" width="14.57421875" style="0" customWidth="1"/>
    <col min="3" max="3" width="13.00390625" style="0" customWidth="1"/>
    <col min="4" max="4" width="20.7109375" style="0" customWidth="1"/>
    <col min="5" max="5" width="16.28125" style="0" customWidth="1"/>
    <col min="6" max="6" width="14.7109375" style="0" customWidth="1"/>
    <col min="7" max="7" width="16.421875" style="0" customWidth="1"/>
  </cols>
  <sheetData>
    <row r="1" spans="1:5" s="182" customFormat="1" ht="12.75">
      <c r="A1" s="179" t="s">
        <v>100</v>
      </c>
      <c r="B1" s="180"/>
      <c r="C1" s="180"/>
      <c r="D1" s="180"/>
      <c r="E1" s="181"/>
    </row>
    <row r="2" spans="1:5" s="182" customFormat="1" ht="13.5" thickBot="1">
      <c r="A2" s="183" t="s">
        <v>101</v>
      </c>
      <c r="B2" s="184"/>
      <c r="C2" s="184"/>
      <c r="D2" s="184"/>
      <c r="E2" s="185"/>
    </row>
    <row r="3" spans="1:5" s="182" customFormat="1" ht="12.75">
      <c r="A3" s="186"/>
      <c r="B3" s="186"/>
      <c r="C3" s="186"/>
      <c r="D3" s="186"/>
      <c r="E3" s="186"/>
    </row>
    <row r="5" spans="1:5" ht="42" customHeight="1">
      <c r="A5" s="16" t="s">
        <v>102</v>
      </c>
      <c r="B5" s="16" t="s">
        <v>103</v>
      </c>
      <c r="C5" s="16" t="s">
        <v>104</v>
      </c>
      <c r="D5" s="16" t="s">
        <v>105</v>
      </c>
      <c r="E5" s="187" t="s">
        <v>106</v>
      </c>
    </row>
    <row r="6" spans="1:6" ht="12.75">
      <c r="A6" s="188">
        <v>889280.6350436179</v>
      </c>
      <c r="B6" s="189">
        <v>71142.45080348944</v>
      </c>
      <c r="C6" s="190">
        <f>A6-B6</f>
        <v>818138.1842401285</v>
      </c>
      <c r="D6" s="191">
        <v>618566.75</v>
      </c>
      <c r="E6" s="240">
        <f>D6/C6</f>
        <v>0.7560663490783202</v>
      </c>
      <c r="F6" s="192"/>
    </row>
    <row r="10" spans="1:5" ht="12.75">
      <c r="A10" s="177" t="s">
        <v>113</v>
      </c>
      <c r="B10" s="209"/>
      <c r="C10" s="209"/>
      <c r="D10" s="29"/>
      <c r="E10" s="201" t="s">
        <v>114</v>
      </c>
    </row>
    <row r="11" spans="1:5" ht="12.75">
      <c r="A11" s="206" t="s">
        <v>115</v>
      </c>
      <c r="B11" s="207"/>
      <c r="C11" s="207"/>
      <c r="D11" s="208"/>
      <c r="E11" s="200">
        <v>10000</v>
      </c>
    </row>
    <row r="12" spans="1:5" ht="12.75">
      <c r="A12" s="203" t="s">
        <v>116</v>
      </c>
      <c r="B12" s="204"/>
      <c r="C12" s="204"/>
      <c r="D12" s="205"/>
      <c r="E12" s="200">
        <v>9000</v>
      </c>
    </row>
    <row r="13" spans="1:5" ht="12.75">
      <c r="A13" s="203" t="s">
        <v>117</v>
      </c>
      <c r="B13" s="204"/>
      <c r="C13" s="204"/>
      <c r="D13" s="205"/>
      <c r="E13" s="200">
        <v>34000</v>
      </c>
    </row>
    <row r="14" spans="4:5" ht="12.75">
      <c r="D14" s="202" t="s">
        <v>118</v>
      </c>
      <c r="E14" s="197">
        <f>SUM(E11:E13)</f>
        <v>53000</v>
      </c>
    </row>
    <row r="15" spans="4:5" ht="12.75">
      <c r="D15" s="17"/>
      <c r="E15" s="17"/>
    </row>
    <row r="16" spans="4:5" ht="12.75">
      <c r="D16" s="17" t="s">
        <v>119</v>
      </c>
      <c r="E16" s="198">
        <f>D6</f>
        <v>618566.75</v>
      </c>
    </row>
    <row r="17" spans="4:5" ht="12.75">
      <c r="D17" s="17" t="s">
        <v>120</v>
      </c>
      <c r="E17" s="197">
        <f>E16-E14</f>
        <v>565566.75</v>
      </c>
    </row>
    <row r="18" spans="4:5" ht="12.75">
      <c r="D18" s="17" t="s">
        <v>121</v>
      </c>
      <c r="E18" s="199">
        <f>E14/E17</f>
        <v>0.09371130817007896</v>
      </c>
    </row>
    <row r="19" ht="12.75">
      <c r="E19" s="196"/>
    </row>
    <row r="20" ht="12.75">
      <c r="E20" s="196"/>
    </row>
    <row r="21" spans="1:5" ht="93" customHeight="1">
      <c r="A21" s="136"/>
      <c r="B21" s="246" t="s">
        <v>133</v>
      </c>
      <c r="C21" s="242" t="s">
        <v>128</v>
      </c>
      <c r="D21" s="246" t="s">
        <v>129</v>
      </c>
      <c r="E21" s="244" t="s">
        <v>131</v>
      </c>
    </row>
    <row r="22" spans="1:5" ht="12.75" customHeight="1">
      <c r="A22" s="241" t="s">
        <v>107</v>
      </c>
      <c r="B22" s="247" t="s">
        <v>132</v>
      </c>
      <c r="C22" s="243">
        <f>E6</f>
        <v>0.7560663490783202</v>
      </c>
      <c r="D22" s="248">
        <f>E18</f>
        <v>0.09371130817007896</v>
      </c>
      <c r="E22" s="245" t="s">
        <v>130</v>
      </c>
    </row>
    <row r="24" spans="1:5" ht="12.75">
      <c r="A24" s="17" t="s">
        <v>108</v>
      </c>
      <c r="B24" s="195">
        <v>233720.22962962964</v>
      </c>
      <c r="C24" s="193">
        <f>E6*B24</f>
        <v>176708.00072182072</v>
      </c>
      <c r="D24" s="193">
        <f>E18*C24</f>
        <v>16559.537911761076</v>
      </c>
      <c r="E24" s="210">
        <f>C24+D24</f>
        <v>193267.5386335818</v>
      </c>
    </row>
    <row r="25" spans="1:6" ht="12.75">
      <c r="A25" s="17" t="s">
        <v>109</v>
      </c>
      <c r="B25" s="195">
        <v>210087.92777777778</v>
      </c>
      <c r="C25" s="193">
        <f>E6*B25</f>
        <v>158840.41254037424</v>
      </c>
      <c r="D25" s="193">
        <f>E18*C25</f>
        <v>14885.142849433485</v>
      </c>
      <c r="E25" s="194">
        <f>C25+D25</f>
        <v>173725.55538980773</v>
      </c>
      <c r="F25" s="249"/>
    </row>
    <row r="26" spans="1:5" ht="12.75">
      <c r="A26" s="17" t="s">
        <v>110</v>
      </c>
      <c r="B26" s="195">
        <v>18387.148148148146</v>
      </c>
      <c r="C26" s="193">
        <f>E6*B26</f>
        <v>13901.903970332563</v>
      </c>
      <c r="D26" s="193">
        <f>E18*C26</f>
        <v>1302.7656071146791</v>
      </c>
      <c r="E26" s="210">
        <f>C26+D26</f>
        <v>15204.669577447243</v>
      </c>
    </row>
    <row r="27" spans="1:5" ht="12.75">
      <c r="A27" s="17" t="s">
        <v>111</v>
      </c>
      <c r="B27" s="195">
        <v>20143.48148148148</v>
      </c>
      <c r="C27" s="193">
        <f>E6*B27</f>
        <v>15229.808501430456</v>
      </c>
      <c r="D27" s="193">
        <f>E18*C27</f>
        <v>1427.2052778488378</v>
      </c>
      <c r="E27" s="210">
        <f>C27+D27</f>
        <v>16657.013779279296</v>
      </c>
    </row>
    <row r="28" spans="1:5" ht="12.75">
      <c r="A28" s="17" t="s">
        <v>112</v>
      </c>
      <c r="B28" s="195">
        <v>20382.425925925927</v>
      </c>
      <c r="C28" s="193">
        <f>E6*B28</f>
        <v>15410.466355174114</v>
      </c>
      <c r="D28" s="193">
        <f>E18*C28</f>
        <v>1444.1349616543548</v>
      </c>
      <c r="E28" s="210">
        <f>C28+D28</f>
        <v>16854.60131682847</v>
      </c>
    </row>
    <row r="29" ht="12.75">
      <c r="E29" s="196"/>
    </row>
    <row r="30" ht="12.75">
      <c r="E30" s="196"/>
    </row>
    <row r="32" ht="12.75">
      <c r="A32" t="s">
        <v>122</v>
      </c>
    </row>
    <row r="33" ht="12.75">
      <c r="A33" t="s">
        <v>123</v>
      </c>
    </row>
    <row r="35" ht="12.75">
      <c r="A35" t="s">
        <v>124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K13"/>
  <sheetViews>
    <sheetView workbookViewId="0" topLeftCell="A3">
      <selection activeCell="M9" sqref="M9"/>
    </sheetView>
  </sheetViews>
  <sheetFormatPr defaultColWidth="9.140625" defaultRowHeight="12.75"/>
  <cols>
    <col min="1" max="1" width="10.57421875" style="0" customWidth="1"/>
    <col min="2" max="2" width="8.28125" style="0" customWidth="1"/>
    <col min="3" max="3" width="8.57421875" style="0" customWidth="1"/>
    <col min="4" max="4" width="12.28125" style="0" customWidth="1"/>
    <col min="5" max="5" width="10.421875" style="0" customWidth="1"/>
    <col min="6" max="7" width="7.421875" style="0" customWidth="1"/>
    <col min="10" max="10" width="9.28125" style="0" customWidth="1"/>
  </cols>
  <sheetData>
    <row r="5" spans="1:11" ht="22.5" customHeight="1">
      <c r="A5" s="19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s="1" customFormat="1" ht="56.25" customHeight="1">
      <c r="A6" s="16" t="s">
        <v>20</v>
      </c>
      <c r="B6" s="16" t="s">
        <v>22</v>
      </c>
      <c r="C6" s="16" t="s">
        <v>28</v>
      </c>
      <c r="D6" s="16" t="s">
        <v>25</v>
      </c>
      <c r="E6" s="16" t="s">
        <v>24</v>
      </c>
      <c r="F6" s="16" t="s">
        <v>29</v>
      </c>
      <c r="G6" s="16" t="s">
        <v>32</v>
      </c>
      <c r="H6" s="16" t="s">
        <v>26</v>
      </c>
      <c r="I6" s="16" t="s">
        <v>21</v>
      </c>
      <c r="J6" s="16" t="s">
        <v>126</v>
      </c>
      <c r="K6" s="16" t="s">
        <v>27</v>
      </c>
    </row>
    <row r="8" spans="1:11" ht="12.75">
      <c r="A8" s="17" t="s">
        <v>14</v>
      </c>
      <c r="B8" s="3" t="s">
        <v>23</v>
      </c>
      <c r="C8" s="3" t="s">
        <v>23</v>
      </c>
      <c r="D8" s="3" t="s">
        <v>23</v>
      </c>
      <c r="E8" s="3" t="s">
        <v>23</v>
      </c>
      <c r="F8" s="18" t="s">
        <v>30</v>
      </c>
      <c r="G8" s="3" t="s">
        <v>23</v>
      </c>
      <c r="H8" s="17"/>
      <c r="I8" s="3" t="s">
        <v>127</v>
      </c>
      <c r="J8" s="3" t="s">
        <v>125</v>
      </c>
      <c r="K8" s="17"/>
    </row>
    <row r="9" spans="1:11" ht="12.75">
      <c r="A9" s="17" t="s">
        <v>15</v>
      </c>
      <c r="B9" s="3" t="s">
        <v>23</v>
      </c>
      <c r="C9" s="3" t="s">
        <v>23</v>
      </c>
      <c r="D9" s="3" t="s">
        <v>23</v>
      </c>
      <c r="E9" s="3" t="s">
        <v>23</v>
      </c>
      <c r="F9" s="18" t="s">
        <v>30</v>
      </c>
      <c r="G9" s="3" t="s">
        <v>23</v>
      </c>
      <c r="H9" s="17"/>
      <c r="I9" s="17"/>
      <c r="J9" s="3"/>
      <c r="K9" s="17"/>
    </row>
    <row r="10" spans="1:11" ht="12.75">
      <c r="A10" s="17" t="s">
        <v>16</v>
      </c>
      <c r="B10" s="3" t="s">
        <v>23</v>
      </c>
      <c r="C10" s="3" t="s">
        <v>23</v>
      </c>
      <c r="D10" s="3" t="s">
        <v>23</v>
      </c>
      <c r="E10" s="3" t="s">
        <v>23</v>
      </c>
      <c r="F10" s="18" t="s">
        <v>30</v>
      </c>
      <c r="G10" s="3" t="s">
        <v>23</v>
      </c>
      <c r="H10" s="17"/>
      <c r="I10" s="17"/>
      <c r="J10" s="3"/>
      <c r="K10" s="17"/>
    </row>
    <row r="11" spans="1:11" ht="12.75">
      <c r="A11" s="17" t="s">
        <v>17</v>
      </c>
      <c r="B11" s="17"/>
      <c r="C11" s="17"/>
      <c r="D11" s="17"/>
      <c r="E11" s="17"/>
      <c r="F11" s="17"/>
      <c r="G11" s="3" t="s">
        <v>23</v>
      </c>
      <c r="H11" s="3" t="s">
        <v>83</v>
      </c>
      <c r="I11" s="17"/>
      <c r="J11" s="3"/>
      <c r="K11" s="17"/>
    </row>
    <row r="12" spans="1:11" ht="12.75">
      <c r="A12" s="17" t="s">
        <v>18</v>
      </c>
      <c r="B12" s="17"/>
      <c r="C12" s="17"/>
      <c r="D12" s="17"/>
      <c r="E12" s="17"/>
      <c r="F12" s="17"/>
      <c r="G12" s="3" t="s">
        <v>23</v>
      </c>
      <c r="H12" s="17"/>
      <c r="I12" s="17"/>
      <c r="J12" s="3"/>
      <c r="K12" s="17"/>
    </row>
    <row r="13" spans="1:11" ht="12.75">
      <c r="A13" s="17" t="s">
        <v>19</v>
      </c>
      <c r="B13" s="17"/>
      <c r="C13" s="17"/>
      <c r="D13" s="17"/>
      <c r="E13" s="17"/>
      <c r="F13" s="17"/>
      <c r="G13" s="3" t="s">
        <v>23</v>
      </c>
      <c r="H13" s="17"/>
      <c r="I13" s="17"/>
      <c r="J13" s="3" t="s">
        <v>125</v>
      </c>
      <c r="K13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I21"/>
  <sheetViews>
    <sheetView workbookViewId="0" topLeftCell="A3">
      <selection activeCell="H24" sqref="H24"/>
    </sheetView>
  </sheetViews>
  <sheetFormatPr defaultColWidth="9.140625" defaultRowHeight="12.75"/>
  <cols>
    <col min="2" max="2" width="13.28125" style="0" customWidth="1"/>
    <col min="4" max="4" width="15.28125" style="0" customWidth="1"/>
    <col min="7" max="8" width="10.28125" style="0" customWidth="1"/>
  </cols>
  <sheetData>
    <row r="9" spans="4:9" ht="13.5" thickBot="1">
      <c r="D9" s="310" t="s">
        <v>163</v>
      </c>
      <c r="E9" s="311"/>
      <c r="F9" s="311"/>
      <c r="G9" s="311"/>
      <c r="H9" s="311"/>
      <c r="I9" s="312"/>
    </row>
    <row r="10" spans="4:9" ht="15" customHeight="1" thickTop="1">
      <c r="D10" s="313" t="s">
        <v>20</v>
      </c>
      <c r="E10" s="315" t="s">
        <v>164</v>
      </c>
      <c r="F10" s="316"/>
      <c r="G10" s="316"/>
      <c r="H10" s="317"/>
      <c r="I10" s="318" t="s">
        <v>1</v>
      </c>
    </row>
    <row r="11" spans="4:9" ht="15">
      <c r="D11" s="314"/>
      <c r="E11" s="300" t="s">
        <v>165</v>
      </c>
      <c r="F11" s="300" t="s">
        <v>166</v>
      </c>
      <c r="G11" s="300" t="s">
        <v>167</v>
      </c>
      <c r="H11" s="301" t="s">
        <v>168</v>
      </c>
      <c r="I11" s="319"/>
    </row>
    <row r="12" spans="4:9" ht="12.75">
      <c r="D12" s="302" t="s">
        <v>169</v>
      </c>
      <c r="E12" s="303">
        <v>-123</v>
      </c>
      <c r="F12" s="304">
        <v>-1314</v>
      </c>
      <c r="G12" s="303">
        <v>-26</v>
      </c>
      <c r="H12" s="305">
        <v>-42048</v>
      </c>
      <c r="I12" s="304">
        <v>-43511</v>
      </c>
    </row>
    <row r="13" spans="4:9" ht="12.75">
      <c r="D13" s="302" t="s">
        <v>170</v>
      </c>
      <c r="E13" s="303">
        <v>-149</v>
      </c>
      <c r="F13" s="304">
        <v>-2716</v>
      </c>
      <c r="G13" s="303">
        <v>-61</v>
      </c>
      <c r="H13" s="305">
        <v>-54312</v>
      </c>
      <c r="I13" s="304">
        <v>-57238</v>
      </c>
    </row>
    <row r="14" spans="4:9" ht="12.75">
      <c r="D14" s="302" t="s">
        <v>171</v>
      </c>
      <c r="E14" s="303">
        <v>-184</v>
      </c>
      <c r="F14" s="304">
        <v>-4818</v>
      </c>
      <c r="G14" s="303">
        <v>-105</v>
      </c>
      <c r="H14" s="305">
        <v>-73584</v>
      </c>
      <c r="I14" s="304">
        <v>-78691</v>
      </c>
    </row>
    <row r="15" spans="4:9" ht="12.75">
      <c r="D15" s="306" t="s">
        <v>172</v>
      </c>
      <c r="E15" s="307">
        <v>-456</v>
      </c>
      <c r="F15" s="308">
        <v>-8848</v>
      </c>
      <c r="G15" s="307">
        <v>-193</v>
      </c>
      <c r="H15" s="309">
        <v>-169444</v>
      </c>
      <c r="I15" s="308">
        <v>-179440</v>
      </c>
    </row>
    <row r="17" spans="2:7" ht="12.75">
      <c r="B17" s="320" t="s">
        <v>175</v>
      </c>
      <c r="C17" t="s">
        <v>173</v>
      </c>
      <c r="F17" s="321">
        <v>0.01</v>
      </c>
      <c r="G17" s="321">
        <v>1.59</v>
      </c>
    </row>
    <row r="18" spans="3:7" ht="12.75">
      <c r="C18" t="s">
        <v>174</v>
      </c>
      <c r="F18" s="321">
        <v>0.1</v>
      </c>
      <c r="G18" s="321">
        <v>23.34</v>
      </c>
    </row>
    <row r="19" spans="5:7" ht="12.75">
      <c r="E19" s="321"/>
      <c r="F19" s="321"/>
      <c r="G19" s="321"/>
    </row>
    <row r="20" spans="2:8" ht="12.75">
      <c r="B20" t="s">
        <v>176</v>
      </c>
      <c r="C20" t="s">
        <v>173</v>
      </c>
      <c r="E20" s="321"/>
      <c r="F20" s="321">
        <f>-F15*F17</f>
        <v>88.48</v>
      </c>
      <c r="G20" s="321">
        <f>-G15*G17</f>
        <v>306.87</v>
      </c>
      <c r="H20" s="321">
        <f>SUM(F20:G20)</f>
        <v>395.35</v>
      </c>
    </row>
    <row r="21" spans="3:8" ht="12.75">
      <c r="C21" t="s">
        <v>174</v>
      </c>
      <c r="E21" s="321"/>
      <c r="F21" s="321">
        <f>-F15*F18</f>
        <v>884.8000000000001</v>
      </c>
      <c r="G21" s="321">
        <f>-G15*G18</f>
        <v>4504.62</v>
      </c>
      <c r="H21" s="321">
        <f>SUM(F21:G21)</f>
        <v>5389.42</v>
      </c>
    </row>
  </sheetData>
  <mergeCells count="4">
    <mergeCell ref="D9:I9"/>
    <mergeCell ref="D10:D11"/>
    <mergeCell ref="E10:H10"/>
    <mergeCell ref="I10:I1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Ken.Sides</cp:lastModifiedBy>
  <cp:lastPrinted>2004-07-03T00:52:15Z</cp:lastPrinted>
  <dcterms:created xsi:type="dcterms:W3CDTF">1996-10-14T23:33:28Z</dcterms:created>
  <dcterms:modified xsi:type="dcterms:W3CDTF">2004-07-08T00:03:50Z</dcterms:modified>
  <cp:category/>
  <cp:version/>
  <cp:contentType/>
  <cp:contentStatus/>
</cp:coreProperties>
</file>